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720" windowHeight="8265" activeTab="0"/>
  </bookViews>
  <sheets>
    <sheet name="Eingabe_Ausgabe" sheetId="1" r:id="rId1"/>
    <sheet name="Berechnung" sheetId="2" r:id="rId2"/>
    <sheet name="Tabelle3" sheetId="3" r:id="rId3"/>
  </sheets>
  <definedNames>
    <definedName name="A_f">'Eingabe_Ausgabe'!$B$4</definedName>
    <definedName name="A_r">'Eingabe_Ausgabe'!$B$6</definedName>
    <definedName name="alpha">'Eingabe_Ausgabe'!$D$2</definedName>
    <definedName name="cw_Agesamt">'Eingabe_Ausgabe'!$B$7</definedName>
    <definedName name="cw_f">'Eingabe_Ausgabe'!$B$3</definedName>
    <definedName name="cw_r">'Eingabe_Ausgabe'!$B$5</definedName>
    <definedName name="dt">'Eingabe_Ausgabe'!$B$9</definedName>
    <definedName name="g">'Eingabe_Ausgabe'!$B$10</definedName>
    <definedName name="m">'Eingabe_Ausgabe'!$D$11</definedName>
    <definedName name="roh_luft">'Eingabe_Ausgabe'!$B$8</definedName>
    <definedName name="CRITERIA" localSheetId="0">'Eingabe_Ausgabe'!$B$14:$B$14</definedName>
    <definedName name="v_Anfang">'Eingabe_Ausgabe'!$D$1</definedName>
    <definedName name="v_turbine">'Berechnung'!$A$1</definedName>
  </definedNames>
  <calcPr fullCalcOnLoad="1"/>
</workbook>
</file>

<file path=xl/comments1.xml><?xml version="1.0" encoding="utf-8"?>
<comments xmlns="http://schemas.openxmlformats.org/spreadsheetml/2006/main">
  <authors>
    <author>Stephan Seit</author>
  </authors>
  <commentList>
    <comment ref="C32" authorId="0">
      <text>
        <r>
          <rPr>
            <b/>
            <sz val="8"/>
            <rFont val="Tahoma"/>
            <family val="2"/>
          </rPr>
          <t>Stephan Seit:</t>
        </r>
        <r>
          <rPr>
            <sz val="8"/>
            <rFont val="Tahoma"/>
            <family val="2"/>
          </rPr>
          <t xml:space="preserve">
Bei diesem Wert ist berücksichtigt, dass bereits 25% des Treibstoffs verbraucht wurde zum Zeitpunkt des Absturzes</t>
        </r>
      </text>
    </comment>
  </commentList>
</comments>
</file>

<file path=xl/sharedStrings.xml><?xml version="1.0" encoding="utf-8"?>
<sst xmlns="http://schemas.openxmlformats.org/spreadsheetml/2006/main" count="82" uniqueCount="64">
  <si>
    <t>Anfangsgeschwindigkeit:</t>
  </si>
  <si>
    <t>Winkel gegenüber Horizont:</t>
  </si>
  <si>
    <t>cw-Wert Flügel:</t>
  </si>
  <si>
    <t>cw-Wert Rumpf:</t>
  </si>
  <si>
    <t>Fläche Flügel (Stirnseite):</t>
  </si>
  <si>
    <t>Fläche Rumpf (Stirnseite):</t>
  </si>
  <si>
    <t>Dichte Luft:</t>
  </si>
  <si>
    <t>km/h</t>
  </si>
  <si>
    <t>°</t>
  </si>
  <si>
    <t>m²</t>
  </si>
  <si>
    <t>kg/m³</t>
  </si>
  <si>
    <t>m/s</t>
  </si>
  <si>
    <t>Bogenmaß</t>
  </si>
  <si>
    <t>dt:</t>
  </si>
  <si>
    <t>Erdbeschleunigung:</t>
  </si>
  <si>
    <t>s</t>
  </si>
  <si>
    <t>m/s²</t>
  </si>
  <si>
    <t>Masse:</t>
  </si>
  <si>
    <t>kg</t>
  </si>
  <si>
    <t>t</t>
  </si>
  <si>
    <t>dt</t>
  </si>
  <si>
    <t>vx (horizontal)</t>
  </si>
  <si>
    <t>vy(vertikal)</t>
  </si>
  <si>
    <t>F_Reib</t>
  </si>
  <si>
    <t>ax in m/s²</t>
  </si>
  <si>
    <t>ay in m/s²</t>
  </si>
  <si>
    <t>x</t>
  </si>
  <si>
    <t>y</t>
  </si>
  <si>
    <t>cw*A gesamt:</t>
  </si>
  <si>
    <t>x(theor)</t>
  </si>
  <si>
    <t>y(theor)</t>
  </si>
  <si>
    <t>v_ges (km/h)</t>
  </si>
  <si>
    <t>Anfangshöhe:</t>
  </si>
  <si>
    <t>m</t>
  </si>
  <si>
    <t>Mit laufenden Turbinen:</t>
  </si>
  <si>
    <t>aktueller Winkel(rad)</t>
  </si>
  <si>
    <t>aktueller Winkel (°)</t>
  </si>
  <si>
    <t>Aufprallwinkel:</t>
  </si>
  <si>
    <t>Entfernung vom Startpunkt:</t>
  </si>
  <si>
    <t>km</t>
  </si>
  <si>
    <t>für "ja" 1 eingeben, für "nein" 2 eingeben</t>
  </si>
  <si>
    <t>Schallgeschwindigkeit:</t>
  </si>
  <si>
    <t>Startgewicht der Boeing 757:</t>
  </si>
  <si>
    <t>Leergewicht:</t>
  </si>
  <si>
    <t>37 Pass. + 7 Crew:</t>
  </si>
  <si>
    <t>Treibstoff:</t>
  </si>
  <si>
    <t>Gesamt:</t>
  </si>
  <si>
    <t>Gewicht der Boeing nach 01h 21min Flugzeit:</t>
  </si>
  <si>
    <t>Hinweis: -90° = theoretisch senkrechter Sturzflug nach unten</t>
  </si>
  <si>
    <t>Anmerkungen:</t>
  </si>
  <si>
    <t>Der Luftwiderstand steigt quadratisch mit der Fluggeschwindigkeit</t>
  </si>
  <si>
    <t>Unterhalb einer Höhe von ca. 24000 Fuß kann eine Boeing nicht mehr mit einer Geschwindigkeit von 0,86 Mach fliegen</t>
  </si>
  <si>
    <t>24000 feet = 7315,2m</t>
  </si>
  <si>
    <t>Die Schallgeschwindigkeit bei einer Temperatur von 20°C beträgt 343m/s = 1234,8km/h</t>
  </si>
  <si>
    <t>0,86 Mach bei einer Außentemperatur von 20°C ( Bodennähe ) beträgt  theoretisch 1061,928km/h</t>
  </si>
  <si>
    <t>Diese Geschwindigkeit kann eine Boeing 757 allerdings nicht in Bodennähe fliegen aufgrund zu hohem Luftwiderstands.</t>
  </si>
  <si>
    <t>Ein Pilot schätzt die Geschwindigkeit im Sturzflug auf 800km/h</t>
  </si>
  <si>
    <t>Die Höchstgeschwindigkeit einer Boeing 757 beträgt 0,86 Mach</t>
  </si>
  <si>
    <t>1 foot = 0,3048m</t>
  </si>
  <si>
    <t>1,293 kg/m³ bei 0°C Außentemperatur</t>
  </si>
  <si>
    <t>1,204 kg/m³ bei 20°C Außentemperatur</t>
  </si>
  <si>
    <t>http://de.wikipedia.org/wiki/Luftdichte</t>
  </si>
  <si>
    <t>( 6000 kg Kerosin nach 81 Minuten Flugzeit verbraucht )</t>
  </si>
  <si>
    <t>Ergänzungen von Stephan Seit: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</si>
</sst>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5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 applyProtection="1">
      <alignment/>
      <protection hidden="1" locked="0"/>
    </xf>
    <xf numFmtId="165" fontId="0" fillId="33" borderId="0" xfId="0" applyNumberFormat="1" applyFill="1" applyAlignment="1" applyProtection="1">
      <alignment/>
      <protection hidden="1" locked="0"/>
    </xf>
    <xf numFmtId="3" fontId="0" fillId="33" borderId="0" xfId="0" applyNumberFormat="1" applyFill="1" applyAlignment="1" applyProtection="1">
      <alignment/>
      <protection hidden="1" locked="0"/>
    </xf>
    <xf numFmtId="1" fontId="0" fillId="33" borderId="0" xfId="0" applyNumberFormat="1" applyFill="1" applyAlignment="1" applyProtection="1">
      <alignment/>
      <protection hidden="1" locked="0"/>
    </xf>
    <xf numFmtId="0" fontId="0" fillId="34" borderId="0" xfId="0" applyFill="1" applyAlignment="1">
      <alignment/>
    </xf>
    <xf numFmtId="0" fontId="0" fillId="35" borderId="0" xfId="0" applyFill="1" applyAlignment="1" applyProtection="1">
      <alignment/>
      <protection hidden="1"/>
    </xf>
    <xf numFmtId="174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9" fillId="0" borderId="12" xfId="0" applyFont="1" applyBorder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/>
    <dxf>
      <font>
        <color rgb="FFFF000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46</xdr:row>
      <xdr:rowOff>47625</xdr:rowOff>
    </xdr:from>
    <xdr:to>
      <xdr:col>5</xdr:col>
      <xdr:colOff>209550</xdr:colOff>
      <xdr:row>72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8867775"/>
          <a:ext cx="3743325" cy="504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F25" sqref="F25"/>
    </sheetView>
  </sheetViews>
  <sheetFormatPr defaultColWidth="11.421875" defaultRowHeight="15"/>
  <cols>
    <col min="1" max="1" width="40.7109375" style="0" customWidth="1"/>
    <col min="2" max="2" width="16.421875" style="0" bestFit="1" customWidth="1"/>
    <col min="3" max="3" width="11.140625" style="0" bestFit="1" customWidth="1"/>
    <col min="5" max="5" width="15.7109375" style="0" bestFit="1" customWidth="1"/>
    <col min="7" max="7" width="26.57421875" style="0" customWidth="1"/>
    <col min="8" max="8" width="12.57421875" style="0" bestFit="1" customWidth="1"/>
    <col min="13" max="14" width="11.421875" style="2" customWidth="1"/>
  </cols>
  <sheetData>
    <row r="1" spans="1:5" ht="15">
      <c r="A1" t="s">
        <v>0</v>
      </c>
      <c r="B1" s="7">
        <v>850</v>
      </c>
      <c r="C1" t="s">
        <v>7</v>
      </c>
      <c r="D1" s="1">
        <f>B1/3.6</f>
        <v>236.11111111111111</v>
      </c>
      <c r="E1" t="s">
        <v>11</v>
      </c>
    </row>
    <row r="2" spans="1:7" ht="15">
      <c r="A2" t="s">
        <v>1</v>
      </c>
      <c r="B2" s="7">
        <v>-80</v>
      </c>
      <c r="C2" t="s">
        <v>8</v>
      </c>
      <c r="D2" s="1">
        <f>RADIANS(B2)</f>
        <v>-1.3962634015954636</v>
      </c>
      <c r="E2" t="s">
        <v>12</v>
      </c>
      <c r="G2" t="s">
        <v>48</v>
      </c>
    </row>
    <row r="3" spans="1:2" ht="15">
      <c r="A3" t="s">
        <v>2</v>
      </c>
      <c r="B3" s="7">
        <v>0.08</v>
      </c>
    </row>
    <row r="4" spans="1:3" ht="15">
      <c r="A4" t="s">
        <v>4</v>
      </c>
      <c r="B4" s="7">
        <v>34.3</v>
      </c>
      <c r="C4" t="s">
        <v>9</v>
      </c>
    </row>
    <row r="5" spans="1:2" ht="15">
      <c r="A5" t="s">
        <v>3</v>
      </c>
      <c r="B5" s="7">
        <v>0.34</v>
      </c>
    </row>
    <row r="6" spans="1:3" ht="15">
      <c r="A6" t="s">
        <v>5</v>
      </c>
      <c r="B6" s="7">
        <v>314</v>
      </c>
      <c r="C6" t="s">
        <v>9</v>
      </c>
    </row>
    <row r="7" spans="1:3" ht="15">
      <c r="A7" t="s">
        <v>28</v>
      </c>
      <c r="B7" s="12">
        <f>cw_f*A_f+cw_r*A_r</f>
        <v>109.504</v>
      </c>
      <c r="C7" t="s">
        <v>9</v>
      </c>
    </row>
    <row r="8" spans="1:7" ht="15">
      <c r="A8" t="s">
        <v>6</v>
      </c>
      <c r="B8" s="7">
        <v>1.293</v>
      </c>
      <c r="C8" t="s">
        <v>10</v>
      </c>
      <c r="D8" t="s">
        <v>59</v>
      </c>
      <c r="G8" t="s">
        <v>60</v>
      </c>
    </row>
    <row r="9" spans="1:3" ht="15">
      <c r="A9" t="s">
        <v>13</v>
      </c>
      <c r="B9" s="7">
        <v>0.05</v>
      </c>
      <c r="C9" t="s">
        <v>15</v>
      </c>
    </row>
    <row r="10" spans="1:3" ht="15">
      <c r="A10" t="s">
        <v>14</v>
      </c>
      <c r="B10" s="7">
        <v>-9.81</v>
      </c>
      <c r="C10" t="s">
        <v>16</v>
      </c>
    </row>
    <row r="11" spans="1:5" ht="15">
      <c r="A11" t="s">
        <v>17</v>
      </c>
      <c r="B11" s="8">
        <f>C32/1000</f>
        <v>81.96</v>
      </c>
      <c r="C11" t="s">
        <v>19</v>
      </c>
      <c r="D11">
        <f>C32</f>
        <v>81960</v>
      </c>
      <c r="E11" t="s">
        <v>18</v>
      </c>
    </row>
    <row r="12" spans="1:3" ht="15">
      <c r="A12" t="s">
        <v>32</v>
      </c>
      <c r="B12" s="9">
        <v>1500</v>
      </c>
      <c r="C12" t="s">
        <v>33</v>
      </c>
    </row>
    <row r="13" spans="1:3" ht="15">
      <c r="A13" t="s">
        <v>34</v>
      </c>
      <c r="B13" s="10">
        <v>1</v>
      </c>
      <c r="C13" t="s">
        <v>40</v>
      </c>
    </row>
    <row r="14" spans="2:3" ht="15">
      <c r="B14" s="3"/>
      <c r="C14" s="6">
        <f>IF(AND(B13&lt;&gt;1,B13&lt;&gt;2),"Auswahl treffen!!!!!","")</f>
      </c>
    </row>
    <row r="15" ht="15"/>
    <row r="16" spans="1:3" ht="15">
      <c r="A16" t="str">
        <f>IF(B16&lt;&gt;Berechnung!B1*3.6,"Aufprallgeschindigkeit:","Flugzeug bricht auseinander wegen Schallgeschwindigkeit!!!")</f>
        <v>Aufprallgeschindigkeit:</v>
      </c>
      <c r="B16" s="13">
        <f>IF(VLOOKUP(1,Berechnung!I:N,3,FALSE)&lt;Berechnung!B1*3.6,VLOOKUP(1,Berechnung!I:N,3,FALSE),Berechnung!B1*3.6)</f>
        <v>877.83728602239</v>
      </c>
      <c r="C16" t="s">
        <v>7</v>
      </c>
    </row>
    <row r="17" spans="1:3" ht="15">
      <c r="A17" t="s">
        <v>37</v>
      </c>
      <c r="B17" s="13">
        <f>VLOOKUP(1,Berechnung!I:P,4,FALSE)</f>
        <v>-80.32021568052882</v>
      </c>
      <c r="C17" t="s">
        <v>8</v>
      </c>
    </row>
    <row r="18" spans="1:3" ht="15">
      <c r="A18" t="s">
        <v>38</v>
      </c>
      <c r="B18" s="13">
        <f>VLOOKUP(1,Berechnung!I:P,5,FALSE)</f>
        <v>278.80179636523826</v>
      </c>
      <c r="C18" t="s">
        <v>33</v>
      </c>
    </row>
    <row r="19" spans="2:3" ht="15">
      <c r="B19" s="14">
        <f>B18/1000</f>
        <v>0.2788017963652383</v>
      </c>
      <c r="C19" t="s">
        <v>39</v>
      </c>
    </row>
    <row r="20" ht="15">
      <c r="B20" s="14"/>
    </row>
    <row r="21" spans="1:9" ht="15">
      <c r="A21" s="20"/>
      <c r="B21" s="20"/>
      <c r="C21" s="20"/>
      <c r="D21" s="20"/>
      <c r="E21" s="20"/>
      <c r="F21" s="20"/>
      <c r="G21" s="20"/>
      <c r="H21" s="20"/>
      <c r="I21" s="20"/>
    </row>
    <row r="22" ht="15">
      <c r="A22" t="s">
        <v>63</v>
      </c>
    </row>
    <row r="23" ht="15.75" thickBot="1"/>
    <row r="24" spans="1:4" ht="15">
      <c r="A24" s="15" t="s">
        <v>42</v>
      </c>
      <c r="B24" s="15" t="s">
        <v>43</v>
      </c>
      <c r="C24" s="16">
        <v>60000</v>
      </c>
      <c r="D24" s="15" t="s">
        <v>18</v>
      </c>
    </row>
    <row r="25" spans="1:4" ht="15">
      <c r="A25" s="15"/>
      <c r="B25" s="15" t="s">
        <v>44</v>
      </c>
      <c r="C25" s="17">
        <v>3960</v>
      </c>
      <c r="D25" s="15" t="s">
        <v>18</v>
      </c>
    </row>
    <row r="26" spans="1:4" ht="15.75" thickBot="1">
      <c r="A26" s="15"/>
      <c r="B26" s="15" t="s">
        <v>45</v>
      </c>
      <c r="C26" s="17">
        <v>24000</v>
      </c>
      <c r="D26" s="15" t="s">
        <v>18</v>
      </c>
    </row>
    <row r="27" spans="1:4" ht="15.75" thickBot="1">
      <c r="A27" s="15"/>
      <c r="B27" s="15" t="s">
        <v>46</v>
      </c>
      <c r="C27" s="18">
        <f>SUM(C24:C26)</f>
        <v>87960</v>
      </c>
      <c r="D27" s="15" t="s">
        <v>18</v>
      </c>
    </row>
    <row r="28" ht="15.75" thickBot="1"/>
    <row r="29" spans="1:4" ht="15">
      <c r="A29" t="s">
        <v>47</v>
      </c>
      <c r="B29" s="15" t="s">
        <v>43</v>
      </c>
      <c r="C29" s="16">
        <v>60000</v>
      </c>
      <c r="D29" t="s">
        <v>18</v>
      </c>
    </row>
    <row r="30" spans="2:4" ht="15">
      <c r="B30" s="15" t="s">
        <v>44</v>
      </c>
      <c r="C30" s="17">
        <v>3960</v>
      </c>
      <c r="D30" t="s">
        <v>18</v>
      </c>
    </row>
    <row r="31" spans="2:6" ht="15.75" thickBot="1">
      <c r="B31" s="15" t="s">
        <v>45</v>
      </c>
      <c r="C31" s="17">
        <f>C26/100*75</f>
        <v>18000</v>
      </c>
      <c r="D31" t="s">
        <v>18</v>
      </c>
      <c r="E31" s="19">
        <v>-0.25</v>
      </c>
      <c r="F31" t="s">
        <v>62</v>
      </c>
    </row>
    <row r="32" spans="2:4" ht="15.75" thickBot="1">
      <c r="B32" s="15" t="s">
        <v>46</v>
      </c>
      <c r="C32" s="18">
        <f>SUM(C29:C31)</f>
        <v>81960</v>
      </c>
      <c r="D32" t="s">
        <v>18</v>
      </c>
    </row>
    <row r="33" ht="15"/>
    <row r="34" ht="15"/>
    <row r="35" ht="15"/>
    <row r="37" spans="1:2" ht="15">
      <c r="A37" t="s">
        <v>49</v>
      </c>
      <c r="B37" t="s">
        <v>53</v>
      </c>
    </row>
    <row r="38" ht="15">
      <c r="B38" t="s">
        <v>58</v>
      </c>
    </row>
    <row r="39" ht="15">
      <c r="B39" t="s">
        <v>52</v>
      </c>
    </row>
    <row r="40" ht="15">
      <c r="B40" t="s">
        <v>57</v>
      </c>
    </row>
    <row r="41" ht="15">
      <c r="B41" t="s">
        <v>54</v>
      </c>
    </row>
    <row r="42" ht="15">
      <c r="C42" t="s">
        <v>55</v>
      </c>
    </row>
    <row r="43" ht="15">
      <c r="C43" t="s">
        <v>50</v>
      </c>
    </row>
    <row r="44" ht="15">
      <c r="C44" t="s">
        <v>56</v>
      </c>
    </row>
    <row r="45" ht="15">
      <c r="C45" t="s">
        <v>51</v>
      </c>
    </row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>
      <c r="B74" t="s">
        <v>61</v>
      </c>
    </row>
  </sheetData>
  <sheetProtection/>
  <conditionalFormatting sqref="B13">
    <cfRule type="expression" priority="1" dxfId="0" stopIfTrue="1">
      <formula>1</formula>
    </cfRule>
  </conditionalFormatting>
  <printOptions/>
  <pageMargins left="0.7" right="0.7" top="0.787401575" bottom="0.787401575" header="0.3" footer="0.3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5"/>
  <sheetViews>
    <sheetView zoomScalePageLayoutView="0" workbookViewId="0" topLeftCell="A1">
      <selection activeCell="E25" sqref="E25"/>
    </sheetView>
  </sheetViews>
  <sheetFormatPr defaultColWidth="11.421875" defaultRowHeight="15"/>
  <cols>
    <col min="1" max="1" width="21.421875" style="0" bestFit="1" customWidth="1"/>
    <col min="3" max="3" width="13.8515625" style="0" bestFit="1" customWidth="1"/>
    <col min="4" max="4" width="12.7109375" style="0" bestFit="1" customWidth="1"/>
    <col min="6" max="6" width="21.421875" style="0" bestFit="1" customWidth="1"/>
    <col min="9" max="10" width="11.421875" style="4" hidden="1" customWidth="1"/>
    <col min="12" max="12" width="18.421875" style="0" bestFit="1" customWidth="1"/>
  </cols>
  <sheetData>
    <row r="1" spans="1:4" ht="15">
      <c r="A1" t="s">
        <v>41</v>
      </c>
      <c r="B1">
        <v>335</v>
      </c>
      <c r="C1" t="s">
        <v>11</v>
      </c>
      <c r="D1">
        <f>B1*3.6</f>
        <v>1206</v>
      </c>
    </row>
    <row r="8" spans="2:16" ht="15">
      <c r="B8" t="s">
        <v>20</v>
      </c>
      <c r="C8" t="s">
        <v>21</v>
      </c>
      <c r="D8" t="s">
        <v>22</v>
      </c>
      <c r="E8" t="s">
        <v>23</v>
      </c>
      <c r="F8" t="s">
        <v>35</v>
      </c>
      <c r="G8" t="s">
        <v>24</v>
      </c>
      <c r="H8" t="s">
        <v>25</v>
      </c>
      <c r="K8" t="s">
        <v>31</v>
      </c>
      <c r="L8" t="s">
        <v>36</v>
      </c>
      <c r="M8" t="s">
        <v>26</v>
      </c>
      <c r="N8" t="s">
        <v>27</v>
      </c>
      <c r="O8" t="s">
        <v>29</v>
      </c>
      <c r="P8" t="s">
        <v>30</v>
      </c>
    </row>
    <row r="9" spans="2:16" ht="15">
      <c r="B9">
        <v>0</v>
      </c>
      <c r="C9">
        <f>v_Anfang*COS(alpha)</f>
        <v>41.00026417135857</v>
      </c>
      <c r="D9">
        <f>v_Anfang*SIN(alpha)</f>
        <v>-232.5240527945491</v>
      </c>
      <c r="E9">
        <f>0.5*roh_luft*(C9*C9+D9*D9)*Eingabe_Ausgabe!B7</f>
        <v>3946674.9814814813</v>
      </c>
      <c r="F9">
        <f aca="true" t="shared" si="0" ref="F9:F72">ATAN(D9/C9)</f>
        <v>-1.3962634015954636</v>
      </c>
      <c r="G9">
        <f>IF(Eingabe_Ausgabe!$B$13=1,0,-COS(F9)*E9/m)</f>
        <v>0</v>
      </c>
      <c r="H9">
        <f>IF(Eingabe_Ausgabe!$B$13=1,g,g-SIN(F9)*E9/m)</f>
        <v>-9.81</v>
      </c>
      <c r="J9" s="4">
        <v>0</v>
      </c>
      <c r="K9" s="11">
        <f>SQRT(C9*C9+D9*D9)*3.6</f>
        <v>849.9999999999999</v>
      </c>
      <c r="L9">
        <f>DEGREES(F9)</f>
        <v>-80</v>
      </c>
      <c r="M9" s="5">
        <v>0</v>
      </c>
      <c r="N9" s="3">
        <f>Eingabe_Ausgabe!B12</f>
        <v>1500</v>
      </c>
      <c r="O9">
        <v>0</v>
      </c>
      <c r="P9">
        <f>N9</f>
        <v>1500</v>
      </c>
    </row>
    <row r="10" spans="2:16" ht="15">
      <c r="B10">
        <f>dt</f>
        <v>0.05</v>
      </c>
      <c r="C10">
        <f>IF(Eingabe_Ausgabe!$B$13=1,Berechnung!C9,C9+G9*B10)</f>
        <v>41.00026417135857</v>
      </c>
      <c r="D10">
        <f>IF(Eingabe_Ausgabe!$B$13=1,Berechnung!D9+dt*g,D9+H9*B10)</f>
        <v>-233.0145527945491</v>
      </c>
      <c r="E10">
        <f>0.5*roh_luft*Eingabe_Ausgabe!$B$7*(C10*C10+D10*D10)</f>
        <v>3962840.6334975855</v>
      </c>
      <c r="F10">
        <f t="shared" si="0"/>
        <v>-1.396623403836064</v>
      </c>
      <c r="G10">
        <f>IF(Eingabe_Ausgabe!$B$13=1,0,-COS(F10)*E10/m)</f>
        <v>0</v>
      </c>
      <c r="H10">
        <f>IF(Eingabe_Ausgabe!$B$13=1,g,g-SIN(F10)*E10/m)</f>
        <v>-9.81</v>
      </c>
      <c r="J10" s="4">
        <f>IF($B$1*3.6&lt;=K10,1,0)</f>
        <v>0</v>
      </c>
      <c r="K10" s="11">
        <f aca="true" t="shared" si="1" ref="K10:K73">IF(N9&lt;=0,0,SQRT(C10*C10+D10*D10)*3.6)</f>
        <v>851.7390287236444</v>
      </c>
      <c r="L10">
        <f aca="true" t="shared" si="2" ref="L10:L73">DEGREES(F10)</f>
        <v>-80.02062660900167</v>
      </c>
      <c r="M10">
        <f aca="true" t="shared" si="3" ref="M10:M73">M9+C10*B10</f>
        <v>2.0500132085679286</v>
      </c>
      <c r="N10">
        <f aca="true" t="shared" si="4" ref="N10:N73">N9+D10*B10</f>
        <v>1488.3492723602726</v>
      </c>
      <c r="O10">
        <f aca="true" t="shared" si="5" ref="O10:O73">O9+$C$9*B10</f>
        <v>2.0500132085679286</v>
      </c>
      <c r="P10">
        <f aca="true" t="shared" si="6" ref="P10:P73">P9+v_Anfang*SIN(alpha)*B10+g/2*B10*B10</f>
        <v>1488.3615348602727</v>
      </c>
    </row>
    <row r="11" spans="2:16" ht="15">
      <c r="B11">
        <f aca="true" t="shared" si="7" ref="B11:B74">$B$10+B10</f>
        <v>0.1</v>
      </c>
      <c r="C11">
        <f>IF(Eingabe_Ausgabe!$B$13=1,Berechnung!C10,C10+G10*B11)</f>
        <v>41.00026417135857</v>
      </c>
      <c r="D11">
        <f>IF(Eingabe_Ausgabe!$B$13=1,Berechnung!D10+dt*g,D10+H10*B11)</f>
        <v>-233.5050527945491</v>
      </c>
      <c r="E11">
        <f>0.5*roh_luft*Eingabe_Ausgabe!$B$7*(C11*C11+D11*D11)</f>
        <v>3979040.3503676844</v>
      </c>
      <c r="F11">
        <f t="shared" si="0"/>
        <v>-1.3969819389646132</v>
      </c>
      <c r="G11">
        <f>IF(Eingabe_Ausgabe!$B$13=1,0,-COS(F11)*E11/m)</f>
        <v>0</v>
      </c>
      <c r="H11">
        <f>IF(Eingabe_Ausgabe!$B$13=1,g,g-SIN(F11)*E11/m)</f>
        <v>-9.81</v>
      </c>
      <c r="I11" s="4">
        <f>IF(N11&lt;=0,1,0)</f>
        <v>0</v>
      </c>
      <c r="J11" s="4">
        <f aca="true" t="shared" si="8" ref="J11:J74">IF($B$1*3.6&lt;=K11,1,0)</f>
        <v>0</v>
      </c>
      <c r="K11">
        <f t="shared" si="1"/>
        <v>853.4781673841894</v>
      </c>
      <c r="L11">
        <f t="shared" si="2"/>
        <v>-80.0411691586747</v>
      </c>
      <c r="M11">
        <f t="shared" si="3"/>
        <v>6.150039625703785</v>
      </c>
      <c r="N11">
        <f t="shared" si="4"/>
        <v>1464.9987670808177</v>
      </c>
      <c r="O11">
        <f t="shared" si="5"/>
        <v>6.150039625703785</v>
      </c>
      <c r="P11">
        <f t="shared" si="6"/>
        <v>1465.0600795808177</v>
      </c>
    </row>
    <row r="12" spans="2:16" ht="15">
      <c r="B12">
        <f t="shared" si="7"/>
        <v>0.15000000000000002</v>
      </c>
      <c r="C12">
        <f>IF(Eingabe_Ausgabe!$B$13=1,Berechnung!C11,C11+G11*B12)</f>
        <v>41.00026417135857</v>
      </c>
      <c r="D12">
        <f>IF(Eingabe_Ausgabe!$B$13=1,Berechnung!D11+dt*g,D11+H11*B12)</f>
        <v>-233.9955527945491</v>
      </c>
      <c r="E12">
        <f>0.5*roh_luft*Eingabe_Ausgabe!$B$7*(C12*C12+D12*D12)</f>
        <v>3995274.132091777</v>
      </c>
      <c r="F12">
        <f t="shared" si="0"/>
        <v>-1.397339015839608</v>
      </c>
      <c r="G12">
        <f>IF(Eingabe_Ausgabe!$B$13=1,0,-COS(F12)*E12/m)</f>
        <v>0</v>
      </c>
      <c r="H12">
        <f>IF(Eingabe_Ausgabe!$B$13=1,g,g-SIN(F12)*E12/m)</f>
        <v>-9.81</v>
      </c>
      <c r="I12" s="4">
        <f aca="true" t="shared" si="9" ref="I12:I75">IF(AND(N12&lt;=0,I11=0,N11&gt;0),1,0)</f>
        <v>0</v>
      </c>
      <c r="J12" s="4">
        <f t="shared" si="8"/>
        <v>0</v>
      </c>
      <c r="K12">
        <f t="shared" si="1"/>
        <v>855.2174153109439</v>
      </c>
      <c r="L12">
        <f t="shared" si="2"/>
        <v>-80.06162815657362</v>
      </c>
      <c r="M12">
        <f t="shared" si="3"/>
        <v>12.300079251407572</v>
      </c>
      <c r="N12">
        <f t="shared" si="4"/>
        <v>1429.8994341616353</v>
      </c>
      <c r="O12">
        <f t="shared" si="5"/>
        <v>12.300079251407572</v>
      </c>
      <c r="P12">
        <f t="shared" si="6"/>
        <v>1430.0711091616354</v>
      </c>
    </row>
    <row r="13" spans="2:16" ht="15">
      <c r="B13">
        <f t="shared" si="7"/>
        <v>0.2</v>
      </c>
      <c r="C13">
        <f>IF(Eingabe_Ausgabe!$B$13=1,Berechnung!C12,C12+G12*B13)</f>
        <v>41.00026417135857</v>
      </c>
      <c r="D13">
        <f>IF(Eingabe_Ausgabe!$B$13=1,Berechnung!D12+dt*g,D12+H12*B13)</f>
        <v>-234.4860527945491</v>
      </c>
      <c r="E13">
        <f>0.5*roh_luft*Eingabe_Ausgabe!$B$7*(C13*C13+D13*D13)</f>
        <v>4011541.978669863</v>
      </c>
      <c r="F13">
        <f t="shared" si="0"/>
        <v>-1.3976946432491208</v>
      </c>
      <c r="G13">
        <f>IF(Eingabe_Ausgabe!$B$13=1,0,-COS(F13)*E13/m)</f>
        <v>0</v>
      </c>
      <c r="H13">
        <f>IF(Eingabe_Ausgabe!$B$13=1,g,g-SIN(F13)*E13/m)</f>
        <v>-9.81</v>
      </c>
      <c r="I13" s="4">
        <f t="shared" si="9"/>
        <v>0</v>
      </c>
      <c r="J13" s="4">
        <f t="shared" si="8"/>
        <v>0</v>
      </c>
      <c r="K13">
        <f t="shared" si="1"/>
        <v>856.9567718386202</v>
      </c>
      <c r="L13">
        <f t="shared" si="2"/>
        <v>-80.08200410621788</v>
      </c>
      <c r="M13">
        <f t="shared" si="3"/>
        <v>20.500132085679287</v>
      </c>
      <c r="N13">
        <f t="shared" si="4"/>
        <v>1383.0022236027255</v>
      </c>
      <c r="O13">
        <f t="shared" si="5"/>
        <v>20.500132085679287</v>
      </c>
      <c r="P13">
        <f t="shared" si="6"/>
        <v>1383.3700986027254</v>
      </c>
    </row>
    <row r="14" spans="2:16" ht="15">
      <c r="B14">
        <f t="shared" si="7"/>
        <v>0.25</v>
      </c>
      <c r="C14">
        <f>IF(Eingabe_Ausgabe!$B$13=1,Berechnung!C13,C13+G13*B14)</f>
        <v>41.00026417135857</v>
      </c>
      <c r="D14">
        <f>IF(Eingabe_Ausgabe!$B$13=1,Berechnung!D13+dt*g,D13+H13*B14)</f>
        <v>-234.9765527945491</v>
      </c>
      <c r="E14">
        <f>0.5*roh_luft*Eingabe_Ausgabe!$B$7*(C14*C14+D14*D14)</f>
        <v>4027843.8901019422</v>
      </c>
      <c r="F14">
        <f t="shared" si="0"/>
        <v>-1.3980488299114886</v>
      </c>
      <c r="G14">
        <f>IF(Eingabe_Ausgabe!$B$13=1,0,-COS(F14)*E14/m)</f>
        <v>0</v>
      </c>
      <c r="H14">
        <f>IF(Eingabe_Ausgabe!$B$13=1,g,g-SIN(F14)*E14/m)</f>
        <v>-9.81</v>
      </c>
      <c r="I14" s="4">
        <f t="shared" si="9"/>
        <v>0</v>
      </c>
      <c r="J14" s="4">
        <f t="shared" si="8"/>
        <v>0</v>
      </c>
      <c r="K14">
        <f t="shared" si="1"/>
        <v>858.6962363072787</v>
      </c>
      <c r="L14">
        <f t="shared" si="2"/>
        <v>-80.10229750713138</v>
      </c>
      <c r="M14">
        <f t="shared" si="3"/>
        <v>30.75019812851893</v>
      </c>
      <c r="N14">
        <f t="shared" si="4"/>
        <v>1324.2580854040882</v>
      </c>
      <c r="O14">
        <f t="shared" si="5"/>
        <v>30.75019812851893</v>
      </c>
      <c r="P14">
        <f t="shared" si="6"/>
        <v>1324.9325229040883</v>
      </c>
    </row>
    <row r="15" spans="2:16" ht="15">
      <c r="B15">
        <f t="shared" si="7"/>
        <v>0.3</v>
      </c>
      <c r="C15">
        <f>IF(Eingabe_Ausgabe!$B$13=1,Berechnung!C14,C14+G14*B15)</f>
        <v>41.00026417135857</v>
      </c>
      <c r="D15">
        <f>IF(Eingabe_Ausgabe!$B$13=1,Berechnung!D14+dt*g,D14+H14*B15)</f>
        <v>-235.4670527945491</v>
      </c>
      <c r="E15">
        <f>0.5*roh_luft*Eingabe_Ausgabe!$B$7*(C15*C15+D15*D15)</f>
        <v>4044179.866388016</v>
      </c>
      <c r="F15">
        <f t="shared" si="0"/>
        <v>-1.398401584475996</v>
      </c>
      <c r="G15">
        <f>IF(Eingabe_Ausgabe!$B$13=1,0,-COS(F15)*E15/m)</f>
        <v>0</v>
      </c>
      <c r="H15">
        <f>IF(Eingabe_Ausgabe!$B$13=1,g,g-SIN(F15)*E15/m)</f>
        <v>-9.81</v>
      </c>
      <c r="I15" s="4">
        <f t="shared" si="9"/>
        <v>0</v>
      </c>
      <c r="J15" s="4">
        <f t="shared" si="8"/>
        <v>0</v>
      </c>
      <c r="K15">
        <f t="shared" si="1"/>
        <v>860.4358080622768</v>
      </c>
      <c r="L15">
        <f t="shared" si="2"/>
        <v>-80.12250885488163</v>
      </c>
      <c r="M15">
        <f t="shared" si="3"/>
        <v>43.050277379926506</v>
      </c>
      <c r="N15">
        <f t="shared" si="4"/>
        <v>1253.6179695657236</v>
      </c>
      <c r="O15">
        <f t="shared" si="5"/>
        <v>43.050277379926506</v>
      </c>
      <c r="P15">
        <f t="shared" si="6"/>
        <v>1254.7338570657234</v>
      </c>
    </row>
    <row r="16" spans="2:16" ht="15">
      <c r="B16">
        <f t="shared" si="7"/>
        <v>0.35</v>
      </c>
      <c r="C16">
        <f>IF(Eingabe_Ausgabe!$B$13=1,Berechnung!C15,C15+G15*B16)</f>
        <v>41.00026417135857</v>
      </c>
      <c r="D16">
        <f>IF(Eingabe_Ausgabe!$B$13=1,Berechnung!D15+dt*g,D15+H15*B16)</f>
        <v>-235.9575527945491</v>
      </c>
      <c r="E16">
        <f>0.5*roh_luft*Eingabe_Ausgabe!$B$7*(C16*C16+D16*D16)</f>
        <v>4060549.907528083</v>
      </c>
      <c r="F16">
        <f t="shared" si="0"/>
        <v>-1.3987529155235512</v>
      </c>
      <c r="G16">
        <f>IF(Eingabe_Ausgabe!$B$13=1,0,-COS(F16)*E16/m)</f>
        <v>0</v>
      </c>
      <c r="H16">
        <f>IF(Eingabe_Ausgabe!$B$13=1,g,g-SIN(F16)*E16/m)</f>
        <v>-9.81</v>
      </c>
      <c r="I16" s="4">
        <f t="shared" si="9"/>
        <v>0</v>
      </c>
      <c r="J16" s="4">
        <f t="shared" si="8"/>
        <v>0</v>
      </c>
      <c r="K16">
        <f t="shared" si="1"/>
        <v>862.1754864542139</v>
      </c>
      <c r="L16">
        <f t="shared" si="2"/>
        <v>-80.14263864111845</v>
      </c>
      <c r="M16">
        <f t="shared" si="3"/>
        <v>57.400369839902005</v>
      </c>
      <c r="N16">
        <f t="shared" si="4"/>
        <v>1171.0328260876313</v>
      </c>
      <c r="O16">
        <f t="shared" si="5"/>
        <v>57.400369839902005</v>
      </c>
      <c r="P16">
        <f t="shared" si="6"/>
        <v>1172.7495760876313</v>
      </c>
    </row>
    <row r="17" spans="2:16" ht="15">
      <c r="B17">
        <f t="shared" si="7"/>
        <v>0.39999999999999997</v>
      </c>
      <c r="C17">
        <f>IF(Eingabe_Ausgabe!$B$13=1,Berechnung!C16,C16+G16*B17)</f>
        <v>41.00026417135857</v>
      </c>
      <c r="D17">
        <f>IF(Eingabe_Ausgabe!$B$13=1,Berechnung!D16+dt*g,D16+H16*B17)</f>
        <v>-236.44805279454908</v>
      </c>
      <c r="E17">
        <f>0.5*roh_luft*Eingabe_Ausgabe!$B$7*(C17*C17+D17*D17)</f>
        <v>4076954.013522143</v>
      </c>
      <c r="F17">
        <f t="shared" si="0"/>
        <v>-1.3991028315673515</v>
      </c>
      <c r="G17">
        <f>IF(Eingabe_Ausgabe!$B$13=1,0,-COS(F17)*E17/m)</f>
        <v>0</v>
      </c>
      <c r="H17">
        <f>IF(Eingabe_Ausgabe!$B$13=1,g,g-SIN(F17)*E17/m)</f>
        <v>-9.81</v>
      </c>
      <c r="I17" s="4">
        <f t="shared" si="9"/>
        <v>0</v>
      </c>
      <c r="J17" s="4">
        <f t="shared" si="8"/>
        <v>0</v>
      </c>
      <c r="K17">
        <f t="shared" si="1"/>
        <v>863.9152708388813</v>
      </c>
      <c r="L17">
        <f t="shared" si="2"/>
        <v>-80.16268735361213</v>
      </c>
      <c r="M17">
        <f t="shared" si="3"/>
        <v>73.80047550844543</v>
      </c>
      <c r="N17">
        <f t="shared" si="4"/>
        <v>1076.4536049698117</v>
      </c>
      <c r="O17">
        <f t="shared" si="5"/>
        <v>73.80047550844543</v>
      </c>
      <c r="P17">
        <f t="shared" si="6"/>
        <v>1078.9551549698117</v>
      </c>
    </row>
    <row r="18" spans="2:16" ht="15">
      <c r="B18">
        <f t="shared" si="7"/>
        <v>0.44999999999999996</v>
      </c>
      <c r="C18">
        <f>IF(Eingabe_Ausgabe!$B$13=1,Berechnung!C17,C17+G17*B18)</f>
        <v>41.00026417135857</v>
      </c>
      <c r="D18">
        <f>IF(Eingabe_Ausgabe!$B$13=1,Berechnung!D17+dt*g,D17+H17*B18)</f>
        <v>-236.93855279454908</v>
      </c>
      <c r="E18">
        <f>0.5*roh_luft*Eingabe_Ausgabe!$B$7*(C18*C18+D18*D18)</f>
        <v>4093392.1843701974</v>
      </c>
      <c r="F18">
        <f t="shared" si="0"/>
        <v>-1.3994513410535432</v>
      </c>
      <c r="G18">
        <f>IF(Eingabe_Ausgabe!$B$13=1,0,-COS(F18)*E18/m)</f>
        <v>0</v>
      </c>
      <c r="H18">
        <f>IF(Eingabe_Ausgabe!$B$13=1,g,g-SIN(F18)*E18/m)</f>
        <v>-9.81</v>
      </c>
      <c r="I18" s="4">
        <f t="shared" si="9"/>
        <v>0</v>
      </c>
      <c r="J18" s="4">
        <f t="shared" si="8"/>
        <v>0</v>
      </c>
      <c r="K18">
        <f t="shared" si="1"/>
        <v>865.6551605772098</v>
      </c>
      <c r="L18">
        <f t="shared" si="2"/>
        <v>-80.18265547629119</v>
      </c>
      <c r="M18">
        <f t="shared" si="3"/>
        <v>92.25059438555678</v>
      </c>
      <c r="N18">
        <f t="shared" si="4"/>
        <v>969.8312562122646</v>
      </c>
      <c r="O18">
        <f t="shared" si="5"/>
        <v>92.25059438555678</v>
      </c>
      <c r="P18">
        <f t="shared" si="6"/>
        <v>973.3260687122646</v>
      </c>
    </row>
    <row r="19" spans="2:16" ht="15">
      <c r="B19">
        <f t="shared" si="7"/>
        <v>0.49999999999999994</v>
      </c>
      <c r="C19">
        <f>IF(Eingabe_Ausgabe!$B$13=1,Berechnung!C18,C18+G18*B19)</f>
        <v>41.00026417135857</v>
      </c>
      <c r="D19">
        <f>IF(Eingabe_Ausgabe!$B$13=1,Berechnung!D18+dt*g,D18+H18*B19)</f>
        <v>-237.42905279454908</v>
      </c>
      <c r="E19">
        <f>0.5*roh_luft*Eingabe_Ausgabe!$B$7*(C19*C19+D19*D19)</f>
        <v>4109864.420072245</v>
      </c>
      <c r="F19">
        <f t="shared" si="0"/>
        <v>-1.3997984523618747</v>
      </c>
      <c r="G19">
        <f>IF(Eingabe_Ausgabe!$B$13=1,0,-COS(F19)*E19/m)</f>
        <v>0</v>
      </c>
      <c r="H19">
        <f>IF(Eingabe_Ausgabe!$B$13=1,g,g-SIN(F19)*E19/m)</f>
        <v>-9.81</v>
      </c>
      <c r="I19" s="4">
        <f t="shared" si="9"/>
        <v>0</v>
      </c>
      <c r="J19" s="4">
        <f t="shared" si="8"/>
        <v>0</v>
      </c>
      <c r="K19">
        <f t="shared" si="1"/>
        <v>867.3951550352192</v>
      </c>
      <c r="L19">
        <f t="shared" si="2"/>
        <v>-80.20254348927985</v>
      </c>
      <c r="M19">
        <f t="shared" si="3"/>
        <v>112.75072647123606</v>
      </c>
      <c r="N19">
        <f t="shared" si="4"/>
        <v>851.1167298149901</v>
      </c>
      <c r="O19">
        <f t="shared" si="5"/>
        <v>112.75072647123606</v>
      </c>
      <c r="P19">
        <f t="shared" si="6"/>
        <v>855.83779231499</v>
      </c>
    </row>
    <row r="20" spans="2:16" ht="15">
      <c r="B20">
        <f t="shared" si="7"/>
        <v>0.5499999999999999</v>
      </c>
      <c r="C20">
        <f>IF(Eingabe_Ausgabe!$B$13=1,Berechnung!C19,C19+G19*B20)</f>
        <v>41.00026417135857</v>
      </c>
      <c r="D20">
        <f>IF(Eingabe_Ausgabe!$B$13=1,Berechnung!D19+dt*g,D19+H19*B20)</f>
        <v>-237.91955279454908</v>
      </c>
      <c r="E20">
        <f>0.5*roh_luft*Eingabe_Ausgabe!$B$7*(C20*C20+D20*D20)</f>
        <v>4126370.7206282867</v>
      </c>
      <c r="F20">
        <f t="shared" si="0"/>
        <v>-1.4001441738063385</v>
      </c>
      <c r="G20">
        <f>IF(Eingabe_Ausgabe!$B$13=1,0,-COS(F20)*E20/m)</f>
        <v>0</v>
      </c>
      <c r="H20">
        <f>IF(Eingabe_Ausgabe!$B$13=1,g,g-SIN(F20)*E20/m)</f>
        <v>-9.81</v>
      </c>
      <c r="I20" s="4">
        <f t="shared" si="9"/>
        <v>0</v>
      </c>
      <c r="J20" s="4">
        <f t="shared" si="8"/>
        <v>0</v>
      </c>
      <c r="K20">
        <f t="shared" si="1"/>
        <v>869.1352535839685</v>
      </c>
      <c r="L20">
        <f t="shared" si="2"/>
        <v>-80.22235186893478</v>
      </c>
      <c r="M20">
        <f t="shared" si="3"/>
        <v>135.30087176548327</v>
      </c>
      <c r="N20">
        <f t="shared" si="4"/>
        <v>720.260975777988</v>
      </c>
      <c r="O20">
        <f t="shared" si="5"/>
        <v>135.30087176548327</v>
      </c>
      <c r="P20">
        <f t="shared" si="6"/>
        <v>726.465800777988</v>
      </c>
    </row>
    <row r="21" spans="2:16" ht="15">
      <c r="B21">
        <f t="shared" si="7"/>
        <v>0.6</v>
      </c>
      <c r="C21">
        <f>IF(Eingabe_Ausgabe!$B$13=1,Berechnung!C20,C20+G20*B21)</f>
        <v>41.00026417135857</v>
      </c>
      <c r="D21">
        <f>IF(Eingabe_Ausgabe!$B$13=1,Berechnung!D20+dt*g,D20+H20*B21)</f>
        <v>-238.41005279454907</v>
      </c>
      <c r="E21">
        <f>0.5*roh_luft*Eingabe_Ausgabe!$B$7*(C21*C21+D21*D21)</f>
        <v>4142911.0860383217</v>
      </c>
      <c r="F21">
        <f t="shared" si="0"/>
        <v>-1.40048851363581</v>
      </c>
      <c r="G21">
        <f>IF(Eingabe_Ausgabe!$B$13=1,0,-COS(F21)*E21/m)</f>
        <v>0</v>
      </c>
      <c r="H21">
        <f>IF(Eingabe_Ausgabe!$B$13=1,g,g-SIN(F21)*E21/m)</f>
        <v>-9.81</v>
      </c>
      <c r="I21" s="4">
        <f t="shared" si="9"/>
        <v>0</v>
      </c>
      <c r="J21" s="4">
        <f t="shared" si="8"/>
        <v>0</v>
      </c>
      <c r="K21">
        <f t="shared" si="1"/>
        <v>870.8754555995056</v>
      </c>
      <c r="L21">
        <f t="shared" si="2"/>
        <v>-80.24208108788176</v>
      </c>
      <c r="M21">
        <f t="shared" si="3"/>
        <v>159.9010302682984</v>
      </c>
      <c r="N21">
        <f t="shared" si="4"/>
        <v>577.2149441012587</v>
      </c>
      <c r="O21">
        <f t="shared" si="5"/>
        <v>159.9010302682984</v>
      </c>
      <c r="P21">
        <f t="shared" si="6"/>
        <v>585.1855691012585</v>
      </c>
    </row>
    <row r="22" spans="2:16" ht="15">
      <c r="B22">
        <f t="shared" si="7"/>
        <v>0.65</v>
      </c>
      <c r="C22">
        <f>IF(Eingabe_Ausgabe!$B$13=1,Berechnung!C21,C21+G21*B22)</f>
        <v>41.00026417135857</v>
      </c>
      <c r="D22">
        <f>IF(Eingabe_Ausgabe!$B$13=1,Berechnung!D21+dt*g,D21+H21*B22)</f>
        <v>-238.90055279454907</v>
      </c>
      <c r="E22">
        <f>0.5*roh_luft*Eingabe_Ausgabe!$B$7*(C22*C22+D22*D22)</f>
        <v>4159485.516302351</v>
      </c>
      <c r="F22">
        <f t="shared" si="0"/>
        <v>-1.4008314800346762</v>
      </c>
      <c r="G22">
        <f>IF(Eingabe_Ausgabe!$B$13=1,0,-COS(F22)*E22/m)</f>
        <v>0</v>
      </c>
      <c r="H22">
        <f>IF(Eingabe_Ausgabe!$B$13=1,g,g-SIN(F22)*E22/m)</f>
        <v>-9.81</v>
      </c>
      <c r="I22" s="4">
        <f t="shared" si="9"/>
        <v>0</v>
      </c>
      <c r="J22" s="4">
        <f t="shared" si="8"/>
        <v>0</v>
      </c>
      <c r="K22">
        <f t="shared" si="1"/>
        <v>872.6157604628188</v>
      </c>
      <c r="L22">
        <f t="shared" si="2"/>
        <v>-80.26173161505159</v>
      </c>
      <c r="M22">
        <f t="shared" si="3"/>
        <v>186.55120197968148</v>
      </c>
      <c r="N22">
        <f t="shared" si="4"/>
        <v>421.92958478480176</v>
      </c>
      <c r="O22">
        <f t="shared" si="5"/>
        <v>186.55120197968148</v>
      </c>
      <c r="P22">
        <f t="shared" si="6"/>
        <v>431.9725722848015</v>
      </c>
    </row>
    <row r="23" spans="2:16" ht="15">
      <c r="B23">
        <f t="shared" si="7"/>
        <v>0.7000000000000001</v>
      </c>
      <c r="C23">
        <f>IF(Eingabe_Ausgabe!$B$13=1,Berechnung!C22,C22+G22*B23)</f>
        <v>41.00026417135857</v>
      </c>
      <c r="D23">
        <f>IF(Eingabe_Ausgabe!$B$13=1,Berechnung!D22+dt*g,D22+H22*B23)</f>
        <v>-239.39105279454907</v>
      </c>
      <c r="E23">
        <f>0.5*roh_luft*Eingabe_Ausgabe!$B$7*(C23*C23+D23*D23)</f>
        <v>4176094.011420373</v>
      </c>
      <c r="F23">
        <f t="shared" si="0"/>
        <v>-1.4011730811234577</v>
      </c>
      <c r="G23">
        <f>IF(Eingabe_Ausgabe!$B$13=1,0,-COS(F23)*E23/m)</f>
        <v>0</v>
      </c>
      <c r="H23">
        <f>IF(Eingabe_Ausgabe!$B$13=1,g,g-SIN(F23)*E23/m)</f>
        <v>-9.81</v>
      </c>
      <c r="I23" s="4">
        <f t="shared" si="9"/>
        <v>0</v>
      </c>
      <c r="J23" s="4">
        <f t="shared" si="8"/>
        <v>0</v>
      </c>
      <c r="K23">
        <f t="shared" si="1"/>
        <v>874.3561675597884</v>
      </c>
      <c r="L23">
        <f t="shared" si="2"/>
        <v>-80.28130391571584</v>
      </c>
      <c r="M23">
        <f t="shared" si="3"/>
        <v>215.25138689963248</v>
      </c>
      <c r="N23">
        <f t="shared" si="4"/>
        <v>254.35584782861739</v>
      </c>
      <c r="O23">
        <f t="shared" si="5"/>
        <v>215.25138689963248</v>
      </c>
      <c r="P23">
        <f t="shared" si="6"/>
        <v>266.80228532861713</v>
      </c>
    </row>
    <row r="24" spans="2:16" ht="15">
      <c r="B24">
        <f t="shared" si="7"/>
        <v>0.7500000000000001</v>
      </c>
      <c r="C24">
        <f>IF(Eingabe_Ausgabe!$B$13=1,Berechnung!C23,C23+G23*B24)</f>
        <v>41.00026417135857</v>
      </c>
      <c r="D24">
        <f>IF(Eingabe_Ausgabe!$B$13=1,Berechnung!D23+dt*g,D23+H23*B24)</f>
        <v>-239.88155279454907</v>
      </c>
      <c r="E24">
        <f>0.5*roh_luft*Eingabe_Ausgabe!$B$7*(C24*C24+D24*D24)</f>
        <v>4192736.571392389</v>
      </c>
      <c r="F24">
        <f t="shared" si="0"/>
        <v>-1.4015133249594252</v>
      </c>
      <c r="G24">
        <f>IF(Eingabe_Ausgabe!$B$13=1,0,-COS(F24)*E24/m)</f>
        <v>0</v>
      </c>
      <c r="H24">
        <f>IF(Eingabe_Ausgabe!$B$13=1,g,g-SIN(F24)*E24/m)</f>
        <v>-9.81</v>
      </c>
      <c r="I24" s="4">
        <f t="shared" si="9"/>
        <v>0</v>
      </c>
      <c r="J24" s="4">
        <f t="shared" si="8"/>
        <v>0</v>
      </c>
      <c r="K24">
        <f t="shared" si="1"/>
        <v>876.0966762811385</v>
      </c>
      <c r="L24">
        <f t="shared" si="2"/>
        <v>-80.30079845152213</v>
      </c>
      <c r="M24">
        <f t="shared" si="3"/>
        <v>246.00158502815142</v>
      </c>
      <c r="N24">
        <f t="shared" si="4"/>
        <v>74.44468323270556</v>
      </c>
      <c r="O24">
        <f t="shared" si="5"/>
        <v>246.00158502815142</v>
      </c>
      <c r="P24">
        <f t="shared" si="6"/>
        <v>89.65018323270527</v>
      </c>
    </row>
    <row r="25" spans="2:16" ht="15">
      <c r="B25">
        <f t="shared" si="7"/>
        <v>0.8000000000000002</v>
      </c>
      <c r="C25">
        <f>IF(Eingabe_Ausgabe!$B$13=1,Berechnung!C24,C24+G24*B25)</f>
        <v>41.00026417135857</v>
      </c>
      <c r="D25">
        <f>IF(Eingabe_Ausgabe!$B$13=1,Berechnung!D24+dt*g,D24+H24*B25)</f>
        <v>-240.37205279454906</v>
      </c>
      <c r="E25">
        <f>0.5*roh_luft*Eingabe_Ausgabe!$B$7*(C25*C25+D25*D25)</f>
        <v>4209413.196218399</v>
      </c>
      <c r="F25">
        <f t="shared" si="0"/>
        <v>-1.4018522195372058</v>
      </c>
      <c r="G25">
        <f>IF(Eingabe_Ausgabe!$B$13=1,0,-COS(F25)*E25/m)</f>
        <v>0</v>
      </c>
      <c r="H25">
        <f>IF(Eingabe_Ausgabe!$B$13=1,g,g-SIN(F25)*E25/m)</f>
        <v>-9.81</v>
      </c>
      <c r="I25" s="4">
        <f t="shared" si="9"/>
        <v>1</v>
      </c>
      <c r="J25" s="4">
        <f t="shared" si="8"/>
        <v>0</v>
      </c>
      <c r="K25">
        <f t="shared" si="1"/>
        <v>877.83728602239</v>
      </c>
      <c r="L25">
        <f t="shared" si="2"/>
        <v>-80.32021568052882</v>
      </c>
      <c r="M25">
        <f t="shared" si="3"/>
        <v>278.80179636523826</v>
      </c>
      <c r="N25">
        <f t="shared" si="4"/>
        <v>-117.85295900293374</v>
      </c>
      <c r="O25">
        <f t="shared" si="5"/>
        <v>278.80179636523826</v>
      </c>
      <c r="P25">
        <f t="shared" si="6"/>
        <v>-99.50825900293405</v>
      </c>
    </row>
    <row r="26" spans="2:16" ht="15">
      <c r="B26">
        <f t="shared" si="7"/>
        <v>0.8500000000000002</v>
      </c>
      <c r="C26">
        <f>IF(Eingabe_Ausgabe!$B$13=1,Berechnung!C25,C25+G25*B26)</f>
        <v>41.00026417135857</v>
      </c>
      <c r="D26">
        <f>IF(Eingabe_Ausgabe!$B$13=1,Berechnung!D25+dt*g,D25+H25*B26)</f>
        <v>-240.86255279454906</v>
      </c>
      <c r="E26">
        <f>0.5*roh_luft*Eingabe_Ausgabe!$B$7*(C26*C26+D26*D26)</f>
        <v>4226123.885898402</v>
      </c>
      <c r="F26">
        <f t="shared" si="0"/>
        <v>-1.4021897727893866</v>
      </c>
      <c r="G26">
        <f>IF(Eingabe_Ausgabe!$B$13=1,0,-COS(F26)*E26/m)</f>
        <v>0</v>
      </c>
      <c r="H26">
        <f>IF(Eingabe_Ausgabe!$B$13=1,g,g-SIN(F26)*E26/m)</f>
        <v>-9.81</v>
      </c>
      <c r="I26" s="4">
        <f t="shared" si="9"/>
        <v>0</v>
      </c>
      <c r="J26" s="4">
        <f t="shared" si="8"/>
        <v>0</v>
      </c>
      <c r="K26">
        <f t="shared" si="1"/>
        <v>0</v>
      </c>
      <c r="L26">
        <f t="shared" si="2"/>
        <v>-80.33955605723969</v>
      </c>
      <c r="M26">
        <f t="shared" si="3"/>
        <v>313.65202091089304</v>
      </c>
      <c r="N26">
        <f t="shared" si="4"/>
        <v>-322.5861288783005</v>
      </c>
      <c r="O26">
        <f t="shared" si="5"/>
        <v>313.65202091089304</v>
      </c>
      <c r="P26">
        <f t="shared" si="6"/>
        <v>-300.69756637830085</v>
      </c>
    </row>
    <row r="27" spans="2:16" ht="15">
      <c r="B27">
        <f t="shared" si="7"/>
        <v>0.9000000000000002</v>
      </c>
      <c r="C27">
        <f>IF(Eingabe_Ausgabe!$B$13=1,Berechnung!C26,C26+G26*B27)</f>
        <v>41.00026417135857</v>
      </c>
      <c r="D27">
        <f>IF(Eingabe_Ausgabe!$B$13=1,Berechnung!D26+dt*g,D26+H26*B27)</f>
        <v>-241.35305279454906</v>
      </c>
      <c r="E27">
        <f>0.5*roh_luft*Eingabe_Ausgabe!$B$7*(C27*C27+D27*D27)</f>
        <v>4242868.6404324</v>
      </c>
      <c r="F27">
        <f t="shared" si="0"/>
        <v>-1.4025259925871074</v>
      </c>
      <c r="G27">
        <f>IF(Eingabe_Ausgabe!$B$13=1,0,-COS(F27)*E27/m)</f>
        <v>0</v>
      </c>
      <c r="H27">
        <f>IF(Eingabe_Ausgabe!$B$13=1,g,g-SIN(F27)*E27/m)</f>
        <v>-9.81</v>
      </c>
      <c r="I27" s="4">
        <f t="shared" si="9"/>
        <v>0</v>
      </c>
      <c r="J27" s="4">
        <f t="shared" si="8"/>
        <v>0</v>
      </c>
      <c r="K27">
        <f t="shared" si="1"/>
        <v>0</v>
      </c>
      <c r="L27">
        <f t="shared" si="2"/>
        <v>-80.35882003263784</v>
      </c>
      <c r="M27">
        <f t="shared" si="3"/>
        <v>350.5522586651158</v>
      </c>
      <c r="N27">
        <f t="shared" si="4"/>
        <v>-539.8038763933947</v>
      </c>
      <c r="O27">
        <f t="shared" si="5"/>
        <v>350.5522586651158</v>
      </c>
      <c r="P27">
        <f t="shared" si="6"/>
        <v>-513.9422638933952</v>
      </c>
    </row>
    <row r="28" spans="2:16" ht="15">
      <c r="B28">
        <f t="shared" si="7"/>
        <v>0.9500000000000003</v>
      </c>
      <c r="C28">
        <f>IF(Eingabe_Ausgabe!$B$13=1,Berechnung!C27,C27+G27*B28)</f>
        <v>41.00026417135857</v>
      </c>
      <c r="D28">
        <f>IF(Eingabe_Ausgabe!$B$13=1,Berechnung!D27+dt*g,D27+H27*B28)</f>
        <v>-241.84355279454905</v>
      </c>
      <c r="E28">
        <f>0.5*roh_luft*Eingabe_Ausgabe!$B$7*(C28*C28+D28*D28)</f>
        <v>4259647.45982039</v>
      </c>
      <c r="F28">
        <f t="shared" si="0"/>
        <v>-1.402860886740649</v>
      </c>
      <c r="G28">
        <f>IF(Eingabe_Ausgabe!$B$13=1,0,-COS(F28)*E28/m)</f>
        <v>0</v>
      </c>
      <c r="H28">
        <f>IF(Eingabe_Ausgabe!$B$13=1,g,g-SIN(F28)*E28/m)</f>
        <v>-9.81</v>
      </c>
      <c r="I28" s="4">
        <f t="shared" si="9"/>
        <v>0</v>
      </c>
      <c r="J28" s="4">
        <f t="shared" si="8"/>
        <v>0</v>
      </c>
      <c r="K28">
        <f t="shared" si="1"/>
        <v>0</v>
      </c>
      <c r="L28">
        <f t="shared" si="2"/>
        <v>-80.37800805421938</v>
      </c>
      <c r="M28">
        <f t="shared" si="3"/>
        <v>389.5025096279065</v>
      </c>
      <c r="N28">
        <f t="shared" si="4"/>
        <v>-769.5552515482163</v>
      </c>
      <c r="O28">
        <f t="shared" si="5"/>
        <v>389.5025096279065</v>
      </c>
      <c r="P28">
        <f t="shared" si="6"/>
        <v>-739.2668765482169</v>
      </c>
    </row>
    <row r="29" spans="2:16" ht="15">
      <c r="B29">
        <f t="shared" si="7"/>
        <v>1.0000000000000002</v>
      </c>
      <c r="C29">
        <f>IF(Eingabe_Ausgabe!$B$13=1,Berechnung!C28,C28+G28*B29)</f>
        <v>41.00026417135857</v>
      </c>
      <c r="D29">
        <f>IF(Eingabe_Ausgabe!$B$13=1,Berechnung!D28+dt*g,D28+H28*B29)</f>
        <v>-242.33405279454905</v>
      </c>
      <c r="E29">
        <f>0.5*roh_luft*Eingabe_Ausgabe!$B$7*(C29*C29+D29*D29)</f>
        <v>4276460.344062374</v>
      </c>
      <c r="F29">
        <f t="shared" si="0"/>
        <v>-1.403194463000014</v>
      </c>
      <c r="G29">
        <f>IF(Eingabe_Ausgabe!$B$13=1,0,-COS(F29)*E29/m)</f>
        <v>0</v>
      </c>
      <c r="H29">
        <f>IF(Eingabe_Ausgabe!$B$13=1,g,g-SIN(F29)*E29/m)</f>
        <v>-9.81</v>
      </c>
      <c r="I29" s="4">
        <f t="shared" si="9"/>
        <v>0</v>
      </c>
      <c r="J29" s="4">
        <f t="shared" si="8"/>
        <v>0</v>
      </c>
      <c r="K29">
        <f t="shared" si="1"/>
        <v>0</v>
      </c>
      <c r="L29">
        <f t="shared" si="2"/>
        <v>-80.39712056602674</v>
      </c>
      <c r="M29">
        <f t="shared" si="3"/>
        <v>430.50277379926507</v>
      </c>
      <c r="N29">
        <f t="shared" si="4"/>
        <v>-1011.8893043427654</v>
      </c>
      <c r="O29">
        <f t="shared" si="5"/>
        <v>430.50277379926507</v>
      </c>
      <c r="P29">
        <f t="shared" si="6"/>
        <v>-976.695929342766</v>
      </c>
    </row>
    <row r="30" spans="2:16" ht="15">
      <c r="B30">
        <f t="shared" si="7"/>
        <v>1.0500000000000003</v>
      </c>
      <c r="C30">
        <f>IF(Eingabe_Ausgabe!$B$13=1,Berechnung!C29,C29+G29*B30)</f>
        <v>41.00026417135857</v>
      </c>
      <c r="D30">
        <f>IF(Eingabe_Ausgabe!$B$13=1,Berechnung!D29+dt*g,D29+H29*B30)</f>
        <v>-242.82455279454905</v>
      </c>
      <c r="E30">
        <f>0.5*roh_luft*Eingabe_Ausgabe!$B$7*(C30*C30+D30*D30)</f>
        <v>4293307.293158352</v>
      </c>
      <c r="F30">
        <f t="shared" si="0"/>
        <v>-1.4035267290555018</v>
      </c>
      <c r="G30">
        <f>IF(Eingabe_Ausgabe!$B$13=1,0,-COS(F30)*E30/m)</f>
        <v>0</v>
      </c>
      <c r="H30">
        <f>IF(Eingabe_Ausgabe!$B$13=1,g,g-SIN(F30)*E30/m)</f>
        <v>-9.81</v>
      </c>
      <c r="I30" s="4">
        <f t="shared" si="9"/>
        <v>0</v>
      </c>
      <c r="J30" s="4">
        <f t="shared" si="8"/>
        <v>0</v>
      </c>
      <c r="K30">
        <f t="shared" si="1"/>
        <v>0</v>
      </c>
      <c r="L30">
        <f t="shared" si="2"/>
        <v>-80.41615800868166</v>
      </c>
      <c r="M30">
        <f t="shared" si="3"/>
        <v>473.5530511791916</v>
      </c>
      <c r="N30">
        <f t="shared" si="4"/>
        <v>-1266.855084777042</v>
      </c>
      <c r="O30">
        <f t="shared" si="5"/>
        <v>473.5530511791916</v>
      </c>
      <c r="P30">
        <f t="shared" si="6"/>
        <v>-1226.2539472770427</v>
      </c>
    </row>
    <row r="31" spans="2:16" ht="15">
      <c r="B31">
        <f t="shared" si="7"/>
        <v>1.1000000000000003</v>
      </c>
      <c r="C31">
        <f>IF(Eingabe_Ausgabe!$B$13=1,Berechnung!C30,C30+G30*B31)</f>
        <v>41.00026417135857</v>
      </c>
      <c r="D31">
        <f>IF(Eingabe_Ausgabe!$B$13=1,Berechnung!D30+dt*g,D30+H30*B31)</f>
        <v>-243.31505279454905</v>
      </c>
      <c r="E31">
        <f>0.5*roh_luft*Eingabe_Ausgabe!$B$7*(C31*C31+D31*D31)</f>
        <v>4310188.307108324</v>
      </c>
      <c r="F31">
        <f t="shared" si="0"/>
        <v>-1.4038576925382766</v>
      </c>
      <c r="G31">
        <f>IF(Eingabe_Ausgabe!$B$13=1,0,-COS(F31)*E31/m)</f>
        <v>0</v>
      </c>
      <c r="H31">
        <f>IF(Eingabe_Ausgabe!$B$13=1,g,g-SIN(F31)*E31/m)</f>
        <v>-9.81</v>
      </c>
      <c r="I31" s="4">
        <f t="shared" si="9"/>
        <v>0</v>
      </c>
      <c r="J31" s="4">
        <f t="shared" si="8"/>
        <v>0</v>
      </c>
      <c r="K31">
        <f t="shared" si="1"/>
        <v>0</v>
      </c>
      <c r="L31">
        <f t="shared" si="2"/>
        <v>-80.43512081941762</v>
      </c>
      <c r="M31">
        <f t="shared" si="3"/>
        <v>518.653341767686</v>
      </c>
      <c r="N31">
        <f t="shared" si="4"/>
        <v>-1534.5016428510462</v>
      </c>
      <c r="O31">
        <f t="shared" si="5"/>
        <v>518.653341767686</v>
      </c>
      <c r="P31">
        <f t="shared" si="6"/>
        <v>-1487.9654553510468</v>
      </c>
    </row>
    <row r="32" spans="2:16" ht="15">
      <c r="B32">
        <f t="shared" si="7"/>
        <v>1.1500000000000004</v>
      </c>
      <c r="C32">
        <f>IF(Eingabe_Ausgabe!$B$13=1,Berechnung!C31,C31+G31*B32)</f>
        <v>41.00026417135857</v>
      </c>
      <c r="D32">
        <f>IF(Eingabe_Ausgabe!$B$13=1,Berechnung!D31+dt*g,D31+H31*B32)</f>
        <v>-243.80555279454904</v>
      </c>
      <c r="E32">
        <f>0.5*roh_luft*Eingabe_Ausgabe!$B$7*(C32*C32+D32*D32)</f>
        <v>4327103.38591229</v>
      </c>
      <c r="F32">
        <f t="shared" si="0"/>
        <v>-1.4041873610209281</v>
      </c>
      <c r="G32">
        <f>IF(Eingabe_Ausgabe!$B$13=1,0,-COS(F32)*E32/m)</f>
        <v>0</v>
      </c>
      <c r="H32">
        <f>IF(Eingabe_Ausgabe!$B$13=1,g,g-SIN(F32)*E32/m)</f>
        <v>-9.81</v>
      </c>
      <c r="I32" s="4">
        <f t="shared" si="9"/>
        <v>0</v>
      </c>
      <c r="J32" s="4">
        <f t="shared" si="8"/>
        <v>0</v>
      </c>
      <c r="K32">
        <f t="shared" si="1"/>
        <v>0</v>
      </c>
      <c r="L32">
        <f t="shared" si="2"/>
        <v>-80.45400943211203</v>
      </c>
      <c r="M32">
        <f t="shared" si="3"/>
        <v>565.8036455647484</v>
      </c>
      <c r="N32">
        <f t="shared" si="4"/>
        <v>-1814.8780285647777</v>
      </c>
      <c r="O32">
        <f t="shared" si="5"/>
        <v>565.8036455647484</v>
      </c>
      <c r="P32">
        <f t="shared" si="6"/>
        <v>-1761.8549785647783</v>
      </c>
    </row>
    <row r="33" spans="2:16" ht="15">
      <c r="B33">
        <f t="shared" si="7"/>
        <v>1.2000000000000004</v>
      </c>
      <c r="C33">
        <f>IF(Eingabe_Ausgabe!$B$13=1,Berechnung!C32,C32+G32*B33)</f>
        <v>41.00026417135857</v>
      </c>
      <c r="D33">
        <f>IF(Eingabe_Ausgabe!$B$13=1,Berechnung!D32+dt*g,D32+H32*B33)</f>
        <v>-244.29605279454904</v>
      </c>
      <c r="E33">
        <f>0.5*roh_luft*Eingabe_Ausgabe!$B$7*(C33*C33+D33*D33)</f>
        <v>4344052.529570248</v>
      </c>
      <c r="F33">
        <f t="shared" si="0"/>
        <v>-1.4045157420180279</v>
      </c>
      <c r="G33">
        <f>IF(Eingabe_Ausgabe!$B$13=1,0,-COS(F33)*E33/m)</f>
        <v>0</v>
      </c>
      <c r="H33">
        <f>IF(Eingabe_Ausgabe!$B$13=1,g,g-SIN(F33)*E33/m)</f>
        <v>-9.81</v>
      </c>
      <c r="I33" s="4">
        <f t="shared" si="9"/>
        <v>0</v>
      </c>
      <c r="J33" s="4">
        <f t="shared" si="8"/>
        <v>0</v>
      </c>
      <c r="K33">
        <f t="shared" si="1"/>
        <v>0</v>
      </c>
      <c r="L33">
        <f t="shared" si="2"/>
        <v>-80.47282427731814</v>
      </c>
      <c r="M33">
        <f t="shared" si="3"/>
        <v>615.0039625703787</v>
      </c>
      <c r="N33">
        <f t="shared" si="4"/>
        <v>-2108.0332919182365</v>
      </c>
      <c r="O33">
        <f t="shared" si="5"/>
        <v>615.0039625703787</v>
      </c>
      <c r="P33">
        <f t="shared" si="6"/>
        <v>-2047.9470419182373</v>
      </c>
    </row>
    <row r="34" spans="2:16" ht="15">
      <c r="B34">
        <f t="shared" si="7"/>
        <v>1.2500000000000004</v>
      </c>
      <c r="C34">
        <f>IF(Eingabe_Ausgabe!$B$13=1,Berechnung!C33,C33+G33*B34)</f>
        <v>41.00026417135857</v>
      </c>
      <c r="D34">
        <f>IF(Eingabe_Ausgabe!$B$13=1,Berechnung!D33+dt*g,D33+H33*B34)</f>
        <v>-244.78655279454904</v>
      </c>
      <c r="E34">
        <f>0.5*roh_luft*Eingabe_Ausgabe!$B$7*(C34*C34+D34*D34)</f>
        <v>4361035.738082201</v>
      </c>
      <c r="F34">
        <f t="shared" si="0"/>
        <v>-1.404842842986677</v>
      </c>
      <c r="G34">
        <f>IF(Eingabe_Ausgabe!$B$13=1,0,-COS(F34)*E34/m)</f>
        <v>0</v>
      </c>
      <c r="H34">
        <f>IF(Eingabe_Ausgabe!$B$13=1,g,g-SIN(F34)*E34/m)</f>
        <v>-9.81</v>
      </c>
      <c r="I34" s="4">
        <f t="shared" si="9"/>
        <v>0</v>
      </c>
      <c r="J34" s="4">
        <f t="shared" si="8"/>
        <v>0</v>
      </c>
      <c r="K34">
        <f t="shared" si="1"/>
        <v>0</v>
      </c>
      <c r="L34">
        <f t="shared" si="2"/>
        <v>-80.49156578229638</v>
      </c>
      <c r="M34">
        <f t="shared" si="3"/>
        <v>666.2542927845769</v>
      </c>
      <c r="N34">
        <f t="shared" si="4"/>
        <v>-2414.016482911423</v>
      </c>
      <c r="O34">
        <f t="shared" si="5"/>
        <v>666.2542927845769</v>
      </c>
      <c r="P34">
        <f t="shared" si="6"/>
        <v>-2346.266170411424</v>
      </c>
    </row>
    <row r="35" spans="2:16" ht="15">
      <c r="B35">
        <f t="shared" si="7"/>
        <v>1.3000000000000005</v>
      </c>
      <c r="C35">
        <f>IF(Eingabe_Ausgabe!$B$13=1,Berechnung!C34,C34+G34*B35)</f>
        <v>41.00026417135857</v>
      </c>
      <c r="D35">
        <f>IF(Eingabe_Ausgabe!$B$13=1,Berechnung!D34+dt*g,D34+H34*B35)</f>
        <v>-245.27705279454904</v>
      </c>
      <c r="E35">
        <f>0.5*roh_luft*Eingabe_Ausgabe!$B$7*(C35*C35+D35*D35)</f>
        <v>4378053.011448147</v>
      </c>
      <c r="F35">
        <f t="shared" si="0"/>
        <v>-1.405168671327051</v>
      </c>
      <c r="G35">
        <f>IF(Eingabe_Ausgabe!$B$13=1,0,-COS(F35)*E35/m)</f>
        <v>0</v>
      </c>
      <c r="H35">
        <f>IF(Eingabe_Ausgabe!$B$13=1,g,g-SIN(F35)*E35/m)</f>
        <v>-9.81</v>
      </c>
      <c r="I35" s="4">
        <f t="shared" si="9"/>
        <v>0</v>
      </c>
      <c r="J35" s="4">
        <f t="shared" si="8"/>
        <v>0</v>
      </c>
      <c r="K35">
        <f t="shared" si="1"/>
        <v>0</v>
      </c>
      <c r="L35">
        <f t="shared" si="2"/>
        <v>-80.51023437104556</v>
      </c>
      <c r="M35">
        <f t="shared" si="3"/>
        <v>719.5546362073432</v>
      </c>
      <c r="N35">
        <f t="shared" si="4"/>
        <v>-2732.8766515443367</v>
      </c>
      <c r="O35">
        <f t="shared" si="5"/>
        <v>719.5546362073432</v>
      </c>
      <c r="P35">
        <f t="shared" si="6"/>
        <v>-2656.836889044338</v>
      </c>
    </row>
    <row r="36" spans="2:16" ht="15">
      <c r="B36">
        <f t="shared" si="7"/>
        <v>1.3500000000000005</v>
      </c>
      <c r="C36">
        <f>IF(Eingabe_Ausgabe!$B$13=1,Berechnung!C35,C35+G35*B36)</f>
        <v>41.00026417135857</v>
      </c>
      <c r="D36">
        <f>IF(Eingabe_Ausgabe!$B$13=1,Berechnung!D35+dt*g,D35+H35*B36)</f>
        <v>-245.76755279454903</v>
      </c>
      <c r="E36">
        <f>0.5*roh_luft*Eingabe_Ausgabe!$B$7*(C36*C36+D36*D36)</f>
        <v>4395104.3496680865</v>
      </c>
      <c r="F36">
        <f t="shared" si="0"/>
        <v>-1.4054932343829343</v>
      </c>
      <c r="G36">
        <f>IF(Eingabe_Ausgabe!$B$13=1,0,-COS(F36)*E36/m)</f>
        <v>0</v>
      </c>
      <c r="H36">
        <f>IF(Eingabe_Ausgabe!$B$13=1,g,g-SIN(F36)*E36/m)</f>
        <v>-9.81</v>
      </c>
      <c r="I36" s="4">
        <f t="shared" si="9"/>
        <v>0</v>
      </c>
      <c r="J36" s="4">
        <f t="shared" si="8"/>
        <v>0</v>
      </c>
      <c r="K36">
        <f t="shared" si="1"/>
        <v>0</v>
      </c>
      <c r="L36">
        <f t="shared" si="2"/>
        <v>-80.52883046433354</v>
      </c>
      <c r="M36">
        <f t="shared" si="3"/>
        <v>774.9049928386772</v>
      </c>
      <c r="N36">
        <f t="shared" si="4"/>
        <v>-3064.6628478169782</v>
      </c>
      <c r="O36">
        <f t="shared" si="5"/>
        <v>774.9049928386772</v>
      </c>
      <c r="P36">
        <f t="shared" si="6"/>
        <v>-2979.6837228169793</v>
      </c>
    </row>
    <row r="37" spans="2:16" ht="15">
      <c r="B37">
        <f t="shared" si="7"/>
        <v>1.4000000000000006</v>
      </c>
      <c r="C37">
        <f>IF(Eingabe_Ausgabe!$B$13=1,Berechnung!C36,C36+G36*B37)</f>
        <v>41.00026417135857</v>
      </c>
      <c r="D37">
        <f>IF(Eingabe_Ausgabe!$B$13=1,Berechnung!D36+dt*g,D36+H36*B37)</f>
        <v>-246.25805279454903</v>
      </c>
      <c r="E37">
        <f>0.5*roh_luft*Eingabe_Ausgabe!$B$7*(C37*C37+D37*D37)</f>
        <v>4412189.75274202</v>
      </c>
      <c r="F37">
        <f t="shared" si="0"/>
        <v>-1.4058165394422528</v>
      </c>
      <c r="G37">
        <f>IF(Eingabe_Ausgabe!$B$13=1,0,-COS(F37)*E37/m)</f>
        <v>0</v>
      </c>
      <c r="H37">
        <f>IF(Eingabe_Ausgabe!$B$13=1,g,g-SIN(F37)*E37/m)</f>
        <v>-9.81</v>
      </c>
      <c r="I37" s="4">
        <f t="shared" si="9"/>
        <v>0</v>
      </c>
      <c r="J37" s="4">
        <f t="shared" si="8"/>
        <v>0</v>
      </c>
      <c r="K37">
        <f t="shared" si="1"/>
        <v>0</v>
      </c>
      <c r="L37">
        <f t="shared" si="2"/>
        <v>-80.54735447972772</v>
      </c>
      <c r="M37">
        <f t="shared" si="3"/>
        <v>832.3053626785793</v>
      </c>
      <c r="N37">
        <f t="shared" si="4"/>
        <v>-3409.424121729347</v>
      </c>
      <c r="O37">
        <f t="shared" si="5"/>
        <v>832.3053626785793</v>
      </c>
      <c r="P37">
        <f t="shared" si="6"/>
        <v>-3314.8311967293484</v>
      </c>
    </row>
    <row r="38" spans="2:16" ht="15">
      <c r="B38">
        <f t="shared" si="7"/>
        <v>1.4500000000000006</v>
      </c>
      <c r="C38">
        <f>IF(Eingabe_Ausgabe!$B$13=1,Berechnung!C37,C37+G37*B38)</f>
        <v>41.00026417135857</v>
      </c>
      <c r="D38">
        <f>IF(Eingabe_Ausgabe!$B$13=1,Berechnung!D37+dt*g,D37+H37*B38)</f>
        <v>-246.74855279454903</v>
      </c>
      <c r="E38">
        <f>0.5*roh_luft*Eingabe_Ausgabe!$B$7*(C38*C38+D38*D38)</f>
        <v>4429309.220669948</v>
      </c>
      <c r="F38">
        <f t="shared" si="0"/>
        <v>-1.4061385937375983</v>
      </c>
      <c r="G38">
        <f>IF(Eingabe_Ausgabe!$B$13=1,0,-COS(F38)*E38/m)</f>
        <v>0</v>
      </c>
      <c r="H38">
        <f>IF(Eingabe_Ausgabe!$B$13=1,g,g-SIN(F38)*E38/m)</f>
        <v>-9.81</v>
      </c>
      <c r="I38" s="4">
        <f t="shared" si="9"/>
        <v>0</v>
      </c>
      <c r="J38" s="4">
        <f t="shared" si="8"/>
        <v>0</v>
      </c>
      <c r="K38">
        <f t="shared" si="1"/>
        <v>0</v>
      </c>
      <c r="L38">
        <f t="shared" si="2"/>
        <v>-80.56580683162507</v>
      </c>
      <c r="M38">
        <f t="shared" si="3"/>
        <v>891.7557457270492</v>
      </c>
      <c r="N38">
        <f t="shared" si="4"/>
        <v>-3767.209523281443</v>
      </c>
      <c r="O38">
        <f t="shared" si="5"/>
        <v>891.7557457270492</v>
      </c>
      <c r="P38">
        <f t="shared" si="6"/>
        <v>-3662.303835781445</v>
      </c>
    </row>
    <row r="39" spans="2:16" ht="15">
      <c r="B39">
        <f t="shared" si="7"/>
        <v>1.5000000000000007</v>
      </c>
      <c r="C39">
        <f>IF(Eingabe_Ausgabe!$B$13=1,Berechnung!C38,C38+G38*B39)</f>
        <v>41.00026417135857</v>
      </c>
      <c r="D39">
        <f>IF(Eingabe_Ausgabe!$B$13=1,Berechnung!D38+dt*g,D38+H38*B39)</f>
        <v>-247.23905279454902</v>
      </c>
      <c r="E39">
        <f>0.5*roh_luft*Eingabe_Ausgabe!$B$7*(C39*C39+D39*D39)</f>
        <v>4446462.753451868</v>
      </c>
      <c r="F39">
        <f t="shared" si="0"/>
        <v>-1.4064594044467464</v>
      </c>
      <c r="G39">
        <f>IF(Eingabe_Ausgabe!$B$13=1,0,-COS(F39)*E39/m)</f>
        <v>0</v>
      </c>
      <c r="H39">
        <f>IF(Eingabe_Ausgabe!$B$13=1,g,g-SIN(F39)*E39/m)</f>
        <v>-9.81</v>
      </c>
      <c r="I39" s="4">
        <f t="shared" si="9"/>
        <v>0</v>
      </c>
      <c r="J39" s="4">
        <f t="shared" si="8"/>
        <v>0</v>
      </c>
      <c r="K39">
        <f t="shared" si="1"/>
        <v>0</v>
      </c>
      <c r="L39">
        <f t="shared" si="2"/>
        <v>-80.58418793128186</v>
      </c>
      <c r="M39">
        <f t="shared" si="3"/>
        <v>953.2561419840871</v>
      </c>
      <c r="N39">
        <f t="shared" si="4"/>
        <v>-4138.068102473267</v>
      </c>
      <c r="O39">
        <f t="shared" si="5"/>
        <v>953.2561419840871</v>
      </c>
      <c r="P39">
        <f t="shared" si="6"/>
        <v>-4022.1261649732687</v>
      </c>
    </row>
    <row r="40" spans="2:16" ht="15">
      <c r="B40">
        <f t="shared" si="7"/>
        <v>1.5500000000000007</v>
      </c>
      <c r="C40">
        <f>IF(Eingabe_Ausgabe!$B$13=1,Berechnung!C39,C39+G39*B40)</f>
        <v>41.00026417135857</v>
      </c>
      <c r="D40">
        <f>IF(Eingabe_Ausgabe!$B$13=1,Berechnung!D39+dt*g,D39+H39*B40)</f>
        <v>-247.72955279454902</v>
      </c>
      <c r="E40">
        <f>0.5*roh_luft*Eingabe_Ausgabe!$B$7*(C40*C40+D40*D40)</f>
        <v>4463650.3510877825</v>
      </c>
      <c r="F40">
        <f t="shared" si="0"/>
        <v>-1.406778978693172</v>
      </c>
      <c r="G40">
        <f>IF(Eingabe_Ausgabe!$B$13=1,0,-COS(F40)*E40/m)</f>
        <v>0</v>
      </c>
      <c r="H40">
        <f>IF(Eingabe_Ausgabe!$B$13=1,g,g-SIN(F40)*E40/m)</f>
        <v>-9.81</v>
      </c>
      <c r="I40" s="4">
        <f t="shared" si="9"/>
        <v>0</v>
      </c>
      <c r="J40" s="4">
        <f t="shared" si="8"/>
        <v>0</v>
      </c>
      <c r="K40">
        <f t="shared" si="1"/>
        <v>0</v>
      </c>
      <c r="L40">
        <f t="shared" si="2"/>
        <v>-80.6024981868431</v>
      </c>
      <c r="M40">
        <f t="shared" si="3"/>
        <v>1016.806551449693</v>
      </c>
      <c r="N40">
        <f t="shared" si="4"/>
        <v>-4522.048909304818</v>
      </c>
      <c r="O40">
        <f t="shared" si="5"/>
        <v>1016.806551449693</v>
      </c>
      <c r="P40">
        <f t="shared" si="6"/>
        <v>-4394.32270930482</v>
      </c>
    </row>
    <row r="41" spans="2:16" ht="15">
      <c r="B41">
        <f t="shared" si="7"/>
        <v>1.6000000000000008</v>
      </c>
      <c r="C41">
        <f>IF(Eingabe_Ausgabe!$B$13=1,Berechnung!C40,C40+G40*B41)</f>
        <v>41.00026417135857</v>
      </c>
      <c r="D41">
        <f>IF(Eingabe_Ausgabe!$B$13=1,Berechnung!D40+dt*g,D40+H40*B41)</f>
        <v>-248.22005279454902</v>
      </c>
      <c r="E41">
        <f>0.5*roh_luft*Eingabe_Ausgabe!$B$7*(C41*C41+D41*D41)</f>
        <v>4480872.013577691</v>
      </c>
      <c r="F41">
        <f t="shared" si="0"/>
        <v>-1.407097323546554</v>
      </c>
      <c r="G41">
        <f>IF(Eingabe_Ausgabe!$B$13=1,0,-COS(F41)*E41/m)</f>
        <v>0</v>
      </c>
      <c r="H41">
        <f>IF(Eingabe_Ausgabe!$B$13=1,g,g-SIN(F41)*E41/m)</f>
        <v>-9.81</v>
      </c>
      <c r="I41" s="4">
        <f t="shared" si="9"/>
        <v>0</v>
      </c>
      <c r="J41" s="4">
        <f t="shared" si="8"/>
        <v>0</v>
      </c>
      <c r="K41">
        <f t="shared" si="1"/>
        <v>0</v>
      </c>
      <c r="L41">
        <f t="shared" si="2"/>
        <v>-80.62073800337161</v>
      </c>
      <c r="M41">
        <f t="shared" si="3"/>
        <v>1082.4069741238668</v>
      </c>
      <c r="N41">
        <f t="shared" si="4"/>
        <v>-4919.200993776097</v>
      </c>
      <c r="O41">
        <f t="shared" si="5"/>
        <v>1082.4069741238668</v>
      </c>
      <c r="P41">
        <f t="shared" si="6"/>
        <v>-4778.917993776099</v>
      </c>
    </row>
    <row r="42" spans="2:16" ht="15">
      <c r="B42">
        <f t="shared" si="7"/>
        <v>1.6500000000000008</v>
      </c>
      <c r="C42">
        <f>IF(Eingabe_Ausgabe!$B$13=1,Berechnung!C41,C41+G41*B42)</f>
        <v>41.00026417135857</v>
      </c>
      <c r="D42">
        <f>IF(Eingabe_Ausgabe!$B$13=1,Berechnung!D41+dt*g,D41+H41*B42)</f>
        <v>-248.71055279454902</v>
      </c>
      <c r="E42">
        <f>0.5*roh_luft*Eingabe_Ausgabe!$B$7*(C42*C42+D42*D42)</f>
        <v>4498127.740921592</v>
      </c>
      <c r="F42">
        <f t="shared" si="0"/>
        <v>-1.4074144460232803</v>
      </c>
      <c r="G42">
        <f>IF(Eingabe_Ausgabe!$B$13=1,0,-COS(F42)*E42/m)</f>
        <v>0</v>
      </c>
      <c r="H42">
        <f>IF(Eingabe_Ausgabe!$B$13=1,g,g-SIN(F42)*E42/m)</f>
        <v>-9.81</v>
      </c>
      <c r="I42" s="4">
        <f t="shared" si="9"/>
        <v>0</v>
      </c>
      <c r="J42" s="4">
        <f t="shared" si="8"/>
        <v>0</v>
      </c>
      <c r="K42">
        <f t="shared" si="1"/>
        <v>0</v>
      </c>
      <c r="L42">
        <f t="shared" si="2"/>
        <v>-80.63890778287677</v>
      </c>
      <c r="M42">
        <f t="shared" si="3"/>
        <v>1150.0574100066085</v>
      </c>
      <c r="N42">
        <f t="shared" si="4"/>
        <v>-5329.573405887103</v>
      </c>
      <c r="O42">
        <f t="shared" si="5"/>
        <v>1150.0574100066085</v>
      </c>
      <c r="P42">
        <f t="shared" si="6"/>
        <v>-5175.936543387105</v>
      </c>
    </row>
    <row r="43" spans="2:16" ht="15">
      <c r="B43">
        <f t="shared" si="7"/>
        <v>1.7000000000000008</v>
      </c>
      <c r="C43">
        <f>IF(Eingabe_Ausgabe!$B$13=1,Berechnung!C42,C42+G42*B43)</f>
        <v>41.00026417135857</v>
      </c>
      <c r="D43">
        <f>IF(Eingabe_Ausgabe!$B$13=1,Berechnung!D42+dt*g,D42+H42*B43)</f>
        <v>-249.201052794549</v>
      </c>
      <c r="E43">
        <f>0.5*roh_luft*Eingabe_Ausgabe!$B$7*(C43*C43+D43*D43)</f>
        <v>4515417.533119488</v>
      </c>
      <c r="F43">
        <f t="shared" si="0"/>
        <v>-1.4077303530869414</v>
      </c>
      <c r="G43">
        <f>IF(Eingabe_Ausgabe!$B$13=1,0,-COS(F43)*E43/m)</f>
        <v>0</v>
      </c>
      <c r="H43">
        <f>IF(Eingabe_Ausgabe!$B$13=1,g,g-SIN(F43)*E43/m)</f>
        <v>-9.81</v>
      </c>
      <c r="I43" s="4">
        <f t="shared" si="9"/>
        <v>0</v>
      </c>
      <c r="J43" s="4">
        <f t="shared" si="8"/>
        <v>0</v>
      </c>
      <c r="K43">
        <f t="shared" si="1"/>
        <v>0</v>
      </c>
      <c r="L43">
        <f t="shared" si="2"/>
        <v>-80.65700792434292</v>
      </c>
      <c r="M43">
        <f t="shared" si="3"/>
        <v>1219.757859097918</v>
      </c>
      <c r="N43">
        <f t="shared" si="4"/>
        <v>-5753.215195637837</v>
      </c>
      <c r="O43">
        <f t="shared" si="5"/>
        <v>1219.757859097918</v>
      </c>
      <c r="P43">
        <f t="shared" si="6"/>
        <v>-5585.402883137839</v>
      </c>
    </row>
    <row r="44" spans="2:16" ht="15">
      <c r="B44">
        <f t="shared" si="7"/>
        <v>1.7500000000000009</v>
      </c>
      <c r="C44">
        <f>IF(Eingabe_Ausgabe!$B$13=1,Berechnung!C43,C43+G43*B44)</f>
        <v>41.00026417135857</v>
      </c>
      <c r="D44">
        <f>IF(Eingabe_Ausgabe!$B$13=1,Berechnung!D43+dt*g,D43+H43*B44)</f>
        <v>-249.691552794549</v>
      </c>
      <c r="E44">
        <f>0.5*roh_luft*Eingabe_Ausgabe!$B$7*(C44*C44+D44*D44)</f>
        <v>4532741.390171377</v>
      </c>
      <c r="F44">
        <f t="shared" si="0"/>
        <v>-1.4080450516488232</v>
      </c>
      <c r="G44">
        <f>IF(Eingabe_Ausgabe!$B$13=1,0,-COS(F44)*E44/m)</f>
        <v>0</v>
      </c>
      <c r="H44">
        <f>IF(Eingabe_Ausgabe!$B$13=1,g,g-SIN(F44)*E44/m)</f>
        <v>-9.81</v>
      </c>
      <c r="I44" s="4">
        <f t="shared" si="9"/>
        <v>0</v>
      </c>
      <c r="J44" s="4">
        <f t="shared" si="8"/>
        <v>0</v>
      </c>
      <c r="K44">
        <f t="shared" si="1"/>
        <v>0</v>
      </c>
      <c r="L44">
        <f t="shared" si="2"/>
        <v>-80.67503882375759</v>
      </c>
      <c r="M44">
        <f t="shared" si="3"/>
        <v>1291.5083213977955</v>
      </c>
      <c r="N44">
        <f t="shared" si="4"/>
        <v>-6190.175413028298</v>
      </c>
      <c r="O44">
        <f t="shared" si="5"/>
        <v>1291.5083213977955</v>
      </c>
      <c r="P44">
        <f t="shared" si="6"/>
        <v>-6007.3415380283</v>
      </c>
    </row>
    <row r="45" spans="2:16" ht="15">
      <c r="B45">
        <f t="shared" si="7"/>
        <v>1.800000000000001</v>
      </c>
      <c r="C45">
        <f>IF(Eingabe_Ausgabe!$B$13=1,Berechnung!C44,C44+G44*B45)</f>
        <v>41.00026417135857</v>
      </c>
      <c r="D45">
        <f>IF(Eingabe_Ausgabe!$B$13=1,Berechnung!D44+dt*g,D44+H44*B45)</f>
        <v>-250.182052794549</v>
      </c>
      <c r="E45">
        <f>0.5*roh_luft*Eingabe_Ausgabe!$B$7*(C45*C45+D45*D45)</f>
        <v>4550099.31207726</v>
      </c>
      <c r="F45">
        <f t="shared" si="0"/>
        <v>-1.4083585485683918</v>
      </c>
      <c r="G45">
        <f>IF(Eingabe_Ausgabe!$B$13=1,0,-COS(F45)*E45/m)</f>
        <v>0</v>
      </c>
      <c r="H45">
        <f>IF(Eingabe_Ausgabe!$B$13=1,g,g-SIN(F45)*E45/m)</f>
        <v>-9.81</v>
      </c>
      <c r="I45" s="4">
        <f t="shared" si="9"/>
        <v>0</v>
      </c>
      <c r="J45" s="4">
        <f t="shared" si="8"/>
        <v>0</v>
      </c>
      <c r="K45">
        <f t="shared" si="1"/>
        <v>0</v>
      </c>
      <c r="L45">
        <f t="shared" si="2"/>
        <v>-80.69300087413922</v>
      </c>
      <c r="M45">
        <f t="shared" si="3"/>
        <v>1365.308796906241</v>
      </c>
      <c r="N45">
        <f t="shared" si="4"/>
        <v>-6640.503108058487</v>
      </c>
      <c r="O45">
        <f t="shared" si="5"/>
        <v>1365.308796906241</v>
      </c>
      <c r="P45">
        <f t="shared" si="6"/>
        <v>-6441.777033058489</v>
      </c>
    </row>
    <row r="46" spans="2:16" ht="15">
      <c r="B46">
        <f t="shared" si="7"/>
        <v>1.850000000000001</v>
      </c>
      <c r="C46">
        <f>IF(Eingabe_Ausgabe!$B$13=1,Berechnung!C45,C45+G45*B46)</f>
        <v>41.00026417135857</v>
      </c>
      <c r="D46">
        <f>IF(Eingabe_Ausgabe!$B$13=1,Berechnung!D45+dt*g,D45+H45*B46)</f>
        <v>-250.672552794549</v>
      </c>
      <c r="E46">
        <f>0.5*roh_luft*Eingabe_Ausgabe!$B$7*(C46*C46+D46*D46)</f>
        <v>4567491.2988371365</v>
      </c>
      <c r="F46">
        <f t="shared" si="0"/>
        <v>-1.4086708506537737</v>
      </c>
      <c r="G46">
        <f>IF(Eingabe_Ausgabe!$B$13=1,0,-COS(F46)*E46/m)</f>
        <v>0</v>
      </c>
      <c r="H46">
        <f>IF(Eingabe_Ausgabe!$B$13=1,g,g-SIN(F46)*E46/m)</f>
        <v>-9.81</v>
      </c>
      <c r="I46" s="4">
        <f t="shared" si="9"/>
        <v>0</v>
      </c>
      <c r="J46" s="4">
        <f t="shared" si="8"/>
        <v>0</v>
      </c>
      <c r="K46">
        <f t="shared" si="1"/>
        <v>0</v>
      </c>
      <c r="L46">
        <f t="shared" si="2"/>
        <v>-80.71089446556473</v>
      </c>
      <c r="M46">
        <f t="shared" si="3"/>
        <v>1441.1592856232544</v>
      </c>
      <c r="N46">
        <f t="shared" si="4"/>
        <v>-7104.247330728403</v>
      </c>
      <c r="O46">
        <f t="shared" si="5"/>
        <v>1441.1592856232544</v>
      </c>
      <c r="P46">
        <f t="shared" si="6"/>
        <v>-6888.733893228406</v>
      </c>
    </row>
    <row r="47" spans="2:16" ht="15">
      <c r="B47">
        <f t="shared" si="7"/>
        <v>1.900000000000001</v>
      </c>
      <c r="C47">
        <f>IF(Eingabe_Ausgabe!$B$13=1,Berechnung!C46,C46+G46*B47)</f>
        <v>41.00026417135857</v>
      </c>
      <c r="D47">
        <f>IF(Eingabe_Ausgabe!$B$13=1,Berechnung!D46+dt*g,D46+H46*B47)</f>
        <v>-251.163052794549</v>
      </c>
      <c r="E47">
        <f>0.5*roh_luft*Eingabe_Ausgabe!$B$7*(C47*C47+D47*D47)</f>
        <v>4584917.350451006</v>
      </c>
      <c r="F47">
        <f t="shared" si="0"/>
        <v>-1.4089819646622306</v>
      </c>
      <c r="G47">
        <f>IF(Eingabe_Ausgabe!$B$13=1,0,-COS(F47)*E47/m)</f>
        <v>0</v>
      </c>
      <c r="H47">
        <f>IF(Eingabe_Ausgabe!$B$13=1,g,g-SIN(F47)*E47/m)</f>
        <v>-9.81</v>
      </c>
      <c r="I47" s="4">
        <f t="shared" si="9"/>
        <v>0</v>
      </c>
      <c r="J47" s="4">
        <f t="shared" si="8"/>
        <v>0</v>
      </c>
      <c r="K47">
        <f t="shared" si="1"/>
        <v>0</v>
      </c>
      <c r="L47">
        <f t="shared" si="2"/>
        <v>-80.72871998519672</v>
      </c>
      <c r="M47">
        <f t="shared" si="3"/>
        <v>1519.0597875488356</v>
      </c>
      <c r="N47">
        <f t="shared" si="4"/>
        <v>-7581.457131038046</v>
      </c>
      <c r="O47">
        <f t="shared" si="5"/>
        <v>1519.0597875488356</v>
      </c>
      <c r="P47">
        <f t="shared" si="6"/>
        <v>-7348.236643538049</v>
      </c>
    </row>
    <row r="48" spans="2:16" ht="15">
      <c r="B48">
        <f t="shared" si="7"/>
        <v>1.950000000000001</v>
      </c>
      <c r="C48">
        <f>IF(Eingabe_Ausgabe!$B$13=1,Berechnung!C47,C47+G47*B48)</f>
        <v>41.00026417135857</v>
      </c>
      <c r="D48">
        <f>IF(Eingabe_Ausgabe!$B$13=1,Berechnung!D47+dt*g,D47+H47*B48)</f>
        <v>-251.653552794549</v>
      </c>
      <c r="E48">
        <f>0.5*roh_luft*Eingabe_Ausgabe!$B$7*(C48*C48+D48*D48)</f>
        <v>4602377.46691887</v>
      </c>
      <c r="F48">
        <f t="shared" si="0"/>
        <v>-1.4092918973006285</v>
      </c>
      <c r="G48">
        <f>IF(Eingabe_Ausgabe!$B$13=1,0,-COS(F48)*E48/m)</f>
        <v>0</v>
      </c>
      <c r="H48">
        <f>IF(Eingabe_Ausgabe!$B$13=1,g,g-SIN(F48)*E48/m)</f>
        <v>-9.81</v>
      </c>
      <c r="I48" s="4">
        <f t="shared" si="9"/>
        <v>0</v>
      </c>
      <c r="J48" s="4">
        <f t="shared" si="8"/>
        <v>0</v>
      </c>
      <c r="K48">
        <f t="shared" si="1"/>
        <v>0</v>
      </c>
      <c r="L48">
        <f t="shared" si="2"/>
        <v>-80.74647781731026</v>
      </c>
      <c r="M48">
        <f t="shared" si="3"/>
        <v>1599.010302682985</v>
      </c>
      <c r="N48">
        <f t="shared" si="4"/>
        <v>-8072.181558987417</v>
      </c>
      <c r="O48">
        <f t="shared" si="5"/>
        <v>1599.010302682985</v>
      </c>
      <c r="P48">
        <f t="shared" si="6"/>
        <v>-7820.309808987419</v>
      </c>
    </row>
    <row r="49" spans="2:16" ht="15">
      <c r="B49">
        <f t="shared" si="7"/>
        <v>2.000000000000001</v>
      </c>
      <c r="C49">
        <f>IF(Eingabe_Ausgabe!$B$13=1,Berechnung!C48,C48+G48*B49)</f>
        <v>41.00026417135857</v>
      </c>
      <c r="D49">
        <f>IF(Eingabe_Ausgabe!$B$13=1,Berechnung!D48+dt*g,D48+H48*B49)</f>
        <v>-252.144052794549</v>
      </c>
      <c r="E49">
        <f>0.5*roh_luft*Eingabe_Ausgabe!$B$7*(C49*C49+D49*D49)</f>
        <v>4619871.648240727</v>
      </c>
      <c r="F49">
        <f t="shared" si="0"/>
        <v>-1.4096006552259042</v>
      </c>
      <c r="G49">
        <f>IF(Eingabe_Ausgabe!$B$13=1,0,-COS(F49)*E49/m)</f>
        <v>0</v>
      </c>
      <c r="H49">
        <f>IF(Eingabe_Ausgabe!$B$13=1,g,g-SIN(F49)*E49/m)</f>
        <v>-9.81</v>
      </c>
      <c r="I49" s="4">
        <f t="shared" si="9"/>
        <v>0</v>
      </c>
      <c r="J49" s="4">
        <f t="shared" si="8"/>
        <v>0</v>
      </c>
      <c r="K49">
        <f t="shared" si="1"/>
        <v>0</v>
      </c>
      <c r="L49">
        <f t="shared" si="2"/>
        <v>-80.76416834331978</v>
      </c>
      <c r="M49">
        <f t="shared" si="3"/>
        <v>1681.0108310257021</v>
      </c>
      <c r="N49">
        <f t="shared" si="4"/>
        <v>-8576.469664576514</v>
      </c>
      <c r="O49">
        <f t="shared" si="5"/>
        <v>1681.0108310257021</v>
      </c>
      <c r="P49">
        <f t="shared" si="6"/>
        <v>-8304.977914576519</v>
      </c>
    </row>
    <row r="50" spans="2:16" ht="15">
      <c r="B50">
        <f t="shared" si="7"/>
        <v>2.0500000000000007</v>
      </c>
      <c r="C50">
        <f>IF(Eingabe_Ausgabe!$B$13=1,Berechnung!C49,C49+G49*B50)</f>
        <v>41.00026417135857</v>
      </c>
      <c r="D50">
        <f>IF(Eingabe_Ausgabe!$B$13=1,Berechnung!D49+dt*g,D49+H49*B50)</f>
        <v>-252.634552794549</v>
      </c>
      <c r="E50">
        <f>0.5*roh_luft*Eingabe_Ausgabe!$B$7*(C50*C50+D50*D50)</f>
        <v>4637399.894416578</v>
      </c>
      <c r="F50">
        <f t="shared" si="0"/>
        <v>-1.4099082450455218</v>
      </c>
      <c r="G50">
        <f>IF(Eingabe_Ausgabe!$B$13=1,0,-COS(F50)*E50/m)</f>
        <v>0</v>
      </c>
      <c r="H50">
        <f>IF(Eingabe_Ausgabe!$B$13=1,g,g-SIN(F50)*E50/m)</f>
        <v>-9.81</v>
      </c>
      <c r="I50" s="4">
        <f t="shared" si="9"/>
        <v>0</v>
      </c>
      <c r="J50" s="4">
        <f t="shared" si="8"/>
        <v>0</v>
      </c>
      <c r="K50">
        <f t="shared" si="1"/>
        <v>0</v>
      </c>
      <c r="L50">
        <f t="shared" si="2"/>
        <v>-80.78179194180505</v>
      </c>
      <c r="M50">
        <f t="shared" si="3"/>
        <v>1765.0613725769872</v>
      </c>
      <c r="N50">
        <f t="shared" si="4"/>
        <v>-9094.37049780534</v>
      </c>
      <c r="O50">
        <f t="shared" si="5"/>
        <v>1765.0613725769872</v>
      </c>
      <c r="P50">
        <f t="shared" si="6"/>
        <v>-8802.265485305345</v>
      </c>
    </row>
    <row r="51" spans="2:16" ht="15">
      <c r="B51">
        <f t="shared" si="7"/>
        <v>2.1000000000000005</v>
      </c>
      <c r="C51">
        <f>IF(Eingabe_Ausgabe!$B$13=1,Berechnung!C50,C50+G50*B51)</f>
        <v>41.00026417135857</v>
      </c>
      <c r="D51">
        <f>IF(Eingabe_Ausgabe!$B$13=1,Berechnung!D50+dt*g,D50+H50*B51)</f>
        <v>-253.125052794549</v>
      </c>
      <c r="E51">
        <f>0.5*roh_luft*Eingabe_Ausgabe!$B$7*(C51*C51+D51*D51)</f>
        <v>4654962.205446423</v>
      </c>
      <c r="F51">
        <f t="shared" si="0"/>
        <v>-1.41021467331793</v>
      </c>
      <c r="G51">
        <f>IF(Eingabe_Ausgabe!$B$13=1,0,-COS(F51)*E51/m)</f>
        <v>0</v>
      </c>
      <c r="H51">
        <f>IF(Eingabe_Ausgabe!$B$13=1,g,g-SIN(F51)*E51/m)</f>
        <v>-9.81</v>
      </c>
      <c r="I51" s="4">
        <f t="shared" si="9"/>
        <v>0</v>
      </c>
      <c r="J51" s="4">
        <f t="shared" si="8"/>
        <v>0</v>
      </c>
      <c r="K51">
        <f t="shared" si="1"/>
        <v>0</v>
      </c>
      <c r="L51">
        <f t="shared" si="2"/>
        <v>-80.79934898853753</v>
      </c>
      <c r="M51">
        <f t="shared" si="3"/>
        <v>1851.16192733684</v>
      </c>
      <c r="N51">
        <f t="shared" si="4"/>
        <v>-9625.933108673893</v>
      </c>
      <c r="O51">
        <f t="shared" si="5"/>
        <v>1851.16192733684</v>
      </c>
      <c r="P51">
        <f t="shared" si="6"/>
        <v>-9312.197046173898</v>
      </c>
    </row>
    <row r="52" spans="2:16" ht="15">
      <c r="B52">
        <f t="shared" si="7"/>
        <v>2.1500000000000004</v>
      </c>
      <c r="C52">
        <f>IF(Eingabe_Ausgabe!$B$13=1,Berechnung!C51,C51+G51*B52)</f>
        <v>41.00026417135857</v>
      </c>
      <c r="D52">
        <f>IF(Eingabe_Ausgabe!$B$13=1,Berechnung!D51+dt*g,D51+H51*B52)</f>
        <v>-253.615552794549</v>
      </c>
      <c r="E52">
        <f>0.5*roh_luft*Eingabe_Ausgabe!$B$7*(C52*C52+D52*D52)</f>
        <v>4672558.581330261</v>
      </c>
      <c r="F52">
        <f t="shared" si="0"/>
        <v>-1.4105199465530092</v>
      </c>
      <c r="G52">
        <f>IF(Eingabe_Ausgabe!$B$13=1,0,-COS(F52)*E52/m)</f>
        <v>0</v>
      </c>
      <c r="H52">
        <f>IF(Eingabe_Ausgabe!$B$13=1,g,g-SIN(F52)*E52/m)</f>
        <v>-9.81</v>
      </c>
      <c r="I52" s="4">
        <f t="shared" si="9"/>
        <v>0</v>
      </c>
      <c r="J52" s="4">
        <f t="shared" si="8"/>
        <v>0</v>
      </c>
      <c r="K52">
        <f t="shared" si="1"/>
        <v>0</v>
      </c>
      <c r="L52">
        <f t="shared" si="2"/>
        <v>-80.81683985650588</v>
      </c>
      <c r="M52">
        <f t="shared" si="3"/>
        <v>1939.312495305261</v>
      </c>
      <c r="N52">
        <f t="shared" si="4"/>
        <v>-10171.206547182173</v>
      </c>
      <c r="O52">
        <f t="shared" si="5"/>
        <v>1939.312495305261</v>
      </c>
      <c r="P52">
        <f t="shared" si="6"/>
        <v>-9834.797122182179</v>
      </c>
    </row>
    <row r="53" spans="2:16" ht="15">
      <c r="B53">
        <f t="shared" si="7"/>
        <v>2.2</v>
      </c>
      <c r="C53">
        <f>IF(Eingabe_Ausgabe!$B$13=1,Berechnung!C52,C52+G52*B53)</f>
        <v>41.00026417135857</v>
      </c>
      <c r="D53">
        <f>IF(Eingabe_Ausgabe!$B$13=1,Berechnung!D52+dt*g,D52+H52*B53)</f>
        <v>-254.106052794549</v>
      </c>
      <c r="E53">
        <f>0.5*roh_luft*Eingabe_Ausgabe!$B$7*(C53*C53+D53*D53)</f>
        <v>4690189.022068093</v>
      </c>
      <c r="F53">
        <f t="shared" si="0"/>
        <v>-1.410824071212518</v>
      </c>
      <c r="G53">
        <f>IF(Eingabe_Ausgabe!$B$13=1,0,-COS(F53)*E53/m)</f>
        <v>0</v>
      </c>
      <c r="H53">
        <f>IF(Eingabe_Ausgabe!$B$13=1,g,g-SIN(F53)*E53/m)</f>
        <v>-9.81</v>
      </c>
      <c r="I53" s="4">
        <f t="shared" si="9"/>
        <v>0</v>
      </c>
      <c r="J53" s="4">
        <f t="shared" si="8"/>
        <v>0</v>
      </c>
      <c r="K53">
        <f t="shared" si="1"/>
        <v>0</v>
      </c>
      <c r="L53">
        <f t="shared" si="2"/>
        <v>-80.83426491594159</v>
      </c>
      <c r="M53">
        <f t="shared" si="3"/>
        <v>2029.51307648225</v>
      </c>
      <c r="N53">
        <f t="shared" si="4"/>
        <v>-10730.239863330182</v>
      </c>
      <c r="O53">
        <f t="shared" si="5"/>
        <v>2029.51307648225</v>
      </c>
      <c r="P53">
        <f t="shared" si="6"/>
        <v>-10370.090238330187</v>
      </c>
    </row>
    <row r="54" spans="2:16" ht="15">
      <c r="B54">
        <f t="shared" si="7"/>
        <v>2.25</v>
      </c>
      <c r="C54">
        <f>IF(Eingabe_Ausgabe!$B$13=1,Berechnung!C53,C53+G53*B54)</f>
        <v>41.00026417135857</v>
      </c>
      <c r="D54">
        <f>IF(Eingabe_Ausgabe!$B$13=1,Berechnung!D53+dt*g,D53+H53*B54)</f>
        <v>-254.59655279454898</v>
      </c>
      <c r="E54">
        <f>0.5*roh_luft*Eingabe_Ausgabe!$B$7*(C54*C54+D54*D54)</f>
        <v>4707853.527659918</v>
      </c>
      <c r="F54">
        <f t="shared" si="0"/>
        <v>-1.4111270537105314</v>
      </c>
      <c r="G54">
        <f>IF(Eingabe_Ausgabe!$B$13=1,0,-COS(F54)*E54/m)</f>
        <v>0</v>
      </c>
      <c r="H54">
        <f>IF(Eingabe_Ausgabe!$B$13=1,g,g-SIN(F54)*E54/m)</f>
        <v>-9.81</v>
      </c>
      <c r="I54" s="4">
        <f t="shared" si="9"/>
        <v>0</v>
      </c>
      <c r="J54" s="4">
        <f t="shared" si="8"/>
        <v>0</v>
      </c>
      <c r="K54">
        <f t="shared" si="1"/>
        <v>0</v>
      </c>
      <c r="L54">
        <f t="shared" si="2"/>
        <v>-80.85162453434408</v>
      </c>
      <c r="M54">
        <f t="shared" si="3"/>
        <v>2121.763670867807</v>
      </c>
      <c r="N54">
        <f t="shared" si="4"/>
        <v>-11303.082107117916</v>
      </c>
      <c r="O54">
        <f t="shared" si="5"/>
        <v>2121.763670867807</v>
      </c>
      <c r="P54">
        <f t="shared" si="6"/>
        <v>-10918.100919617922</v>
      </c>
    </row>
    <row r="55" spans="2:16" ht="15">
      <c r="B55">
        <f t="shared" si="7"/>
        <v>2.3</v>
      </c>
      <c r="C55">
        <f>IF(Eingabe_Ausgabe!$B$13=1,Berechnung!C54,C54+G54*B55)</f>
        <v>41.00026417135857</v>
      </c>
      <c r="D55">
        <f>IF(Eingabe_Ausgabe!$B$13=1,Berechnung!D54+dt*g,D54+H54*B55)</f>
        <v>-255.08705279454898</v>
      </c>
      <c r="E55">
        <f>0.5*roh_luft*Eingabe_Ausgabe!$B$7*(C55*C55+D55*D55)</f>
        <v>4725552.098105737</v>
      </c>
      <c r="F55">
        <f t="shared" si="0"/>
        <v>-1.4114289004138771</v>
      </c>
      <c r="G55">
        <f>IF(Eingabe_Ausgabe!$B$13=1,0,-COS(F55)*E55/m)</f>
        <v>0</v>
      </c>
      <c r="H55">
        <f>IF(Eingabe_Ausgabe!$B$13=1,g,g-SIN(F55)*E55/m)</f>
        <v>-9.81</v>
      </c>
      <c r="I55" s="4">
        <f t="shared" si="9"/>
        <v>0</v>
      </c>
      <c r="J55" s="4">
        <f t="shared" si="8"/>
        <v>0</v>
      </c>
      <c r="K55">
        <f t="shared" si="1"/>
        <v>0</v>
      </c>
      <c r="L55">
        <f t="shared" si="2"/>
        <v>-80.86891907650573</v>
      </c>
      <c r="M55">
        <f t="shared" si="3"/>
        <v>2216.0642784619317</v>
      </c>
      <c r="N55">
        <f t="shared" si="4"/>
        <v>-11889.782328545378</v>
      </c>
      <c r="O55">
        <f t="shared" si="5"/>
        <v>2216.0642784619317</v>
      </c>
      <c r="P55">
        <f t="shared" si="6"/>
        <v>-11478.853691045384</v>
      </c>
    </row>
    <row r="56" spans="2:16" ht="15">
      <c r="B56">
        <f t="shared" si="7"/>
        <v>2.3499999999999996</v>
      </c>
      <c r="C56">
        <f>IF(Eingabe_Ausgabe!$B$13=1,Berechnung!C55,C55+G55*B56)</f>
        <v>41.00026417135857</v>
      </c>
      <c r="D56">
        <f>IF(Eingabe_Ausgabe!$B$13=1,Berechnung!D55+dt*g,D55+H55*B56)</f>
        <v>-255.57755279454898</v>
      </c>
      <c r="E56">
        <f>0.5*roh_luft*Eingabe_Ausgabe!$B$7*(C56*C56+D56*D56)</f>
        <v>4743284.73340555</v>
      </c>
      <c r="F56">
        <f t="shared" si="0"/>
        <v>-1.411729617642565</v>
      </c>
      <c r="G56">
        <f>IF(Eingabe_Ausgabe!$B$13=1,0,-COS(F56)*E56/m)</f>
        <v>0</v>
      </c>
      <c r="H56">
        <f>IF(Eingabe_Ausgabe!$B$13=1,g,g-SIN(F56)*E56/m)</f>
        <v>-9.81</v>
      </c>
      <c r="I56" s="4">
        <f t="shared" si="9"/>
        <v>0</v>
      </c>
      <c r="J56" s="4">
        <f t="shared" si="8"/>
        <v>0</v>
      </c>
      <c r="K56">
        <f t="shared" si="1"/>
        <v>0</v>
      </c>
      <c r="L56">
        <f t="shared" si="2"/>
        <v>-80.88614890453643</v>
      </c>
      <c r="M56">
        <f t="shared" si="3"/>
        <v>2312.414899264624</v>
      </c>
      <c r="N56">
        <f t="shared" si="4"/>
        <v>-12490.389577612568</v>
      </c>
      <c r="O56">
        <f t="shared" si="5"/>
        <v>2312.414899264624</v>
      </c>
      <c r="P56">
        <f t="shared" si="6"/>
        <v>-12052.373077612574</v>
      </c>
    </row>
    <row r="57" spans="2:16" ht="15">
      <c r="B57">
        <f t="shared" si="7"/>
        <v>2.3999999999999995</v>
      </c>
      <c r="C57">
        <f>IF(Eingabe_Ausgabe!$B$13=1,Berechnung!C56,C56+G56*B57)</f>
        <v>41.00026417135857</v>
      </c>
      <c r="D57">
        <f>IF(Eingabe_Ausgabe!$B$13=1,Berechnung!D56+dt*g,D56+H56*B57)</f>
        <v>-256.068052794549</v>
      </c>
      <c r="E57">
        <f>0.5*roh_luft*Eingabe_Ausgabe!$B$7*(C57*C57+D57*D57)</f>
        <v>4761051.433559356</v>
      </c>
      <c r="F57">
        <f t="shared" si="0"/>
        <v>-1.4120292116702127</v>
      </c>
      <c r="G57">
        <f>IF(Eingabe_Ausgabe!$B$13=1,0,-COS(F57)*E57/m)</f>
        <v>0</v>
      </c>
      <c r="H57">
        <f>IF(Eingabe_Ausgabe!$B$13=1,g,g-SIN(F57)*E57/m)</f>
        <v>-9.81</v>
      </c>
      <c r="I57" s="4">
        <f t="shared" si="9"/>
        <v>0</v>
      </c>
      <c r="J57" s="4">
        <f t="shared" si="8"/>
        <v>0</v>
      </c>
      <c r="K57">
        <f t="shared" si="1"/>
        <v>0</v>
      </c>
      <c r="L57">
        <f t="shared" si="2"/>
        <v>-80.90331437788795</v>
      </c>
      <c r="M57">
        <f t="shared" si="3"/>
        <v>2410.8155332758847</v>
      </c>
      <c r="N57">
        <f t="shared" si="4"/>
        <v>-13104.952904319485</v>
      </c>
      <c r="O57">
        <f t="shared" si="5"/>
        <v>2410.8155332758847</v>
      </c>
      <c r="P57">
        <f t="shared" si="6"/>
        <v>-12638.683604319493</v>
      </c>
    </row>
    <row r="58" spans="2:16" ht="15">
      <c r="B58">
        <f t="shared" si="7"/>
        <v>2.4499999999999993</v>
      </c>
      <c r="C58">
        <f>IF(Eingabe_Ausgabe!$B$13=1,Berechnung!C57,C57+G57*B58)</f>
        <v>41.00026417135857</v>
      </c>
      <c r="D58">
        <f>IF(Eingabe_Ausgabe!$B$13=1,Berechnung!D57+dt*g,D57+H57*B58)</f>
        <v>-256.558552794549</v>
      </c>
      <c r="E58">
        <f>0.5*roh_luft*Eingabe_Ausgabe!$B$7*(C58*C58+D58*D58)</f>
        <v>4778852.198567157</v>
      </c>
      <c r="F58">
        <f t="shared" si="0"/>
        <v>-1.4123276887244671</v>
      </c>
      <c r="G58">
        <f>IF(Eingabe_Ausgabe!$B$13=1,0,-COS(F58)*E58/m)</f>
        <v>0</v>
      </c>
      <c r="H58">
        <f>IF(Eingabe_Ausgabe!$B$13=1,g,g-SIN(F58)*E58/m)</f>
        <v>-9.81</v>
      </c>
      <c r="I58" s="4">
        <f t="shared" si="9"/>
        <v>0</v>
      </c>
      <c r="J58" s="4">
        <f t="shared" si="8"/>
        <v>0</v>
      </c>
      <c r="K58">
        <f t="shared" si="1"/>
        <v>0</v>
      </c>
      <c r="L58">
        <f t="shared" si="2"/>
        <v>-80.92041585337823</v>
      </c>
      <c r="M58">
        <f t="shared" si="3"/>
        <v>2511.2661804957133</v>
      </c>
      <c r="N58">
        <f t="shared" si="4"/>
        <v>-13733.52135866613</v>
      </c>
      <c r="O58">
        <f t="shared" si="5"/>
        <v>2511.2661804957133</v>
      </c>
      <c r="P58">
        <f t="shared" si="6"/>
        <v>-13237.809796166139</v>
      </c>
    </row>
    <row r="59" spans="2:16" ht="15">
      <c r="B59">
        <f t="shared" si="7"/>
        <v>2.499999999999999</v>
      </c>
      <c r="C59">
        <f>IF(Eingabe_Ausgabe!$B$13=1,Berechnung!C58,C58+G58*B59)</f>
        <v>41.00026417135857</v>
      </c>
      <c r="D59">
        <f>IF(Eingabe_Ausgabe!$B$13=1,Berechnung!D58+dt*g,D58+H58*B59)</f>
        <v>-257.04905279454897</v>
      </c>
      <c r="E59">
        <f>0.5*roh_luft*Eingabe_Ausgabe!$B$7*(C59*C59+D59*D59)</f>
        <v>4796687.02842895</v>
      </c>
      <c r="F59">
        <f t="shared" si="0"/>
        <v>-1.4126250549874204</v>
      </c>
      <c r="G59">
        <f>IF(Eingabe_Ausgabe!$B$13=1,0,-COS(F59)*E59/m)</f>
        <v>0</v>
      </c>
      <c r="H59">
        <f>IF(Eingabe_Ausgabe!$B$13=1,g,g-SIN(F59)*E59/m)</f>
        <v>-9.81</v>
      </c>
      <c r="I59" s="4">
        <f t="shared" si="9"/>
        <v>0</v>
      </c>
      <c r="J59" s="4">
        <f t="shared" si="8"/>
        <v>0</v>
      </c>
      <c r="K59">
        <f t="shared" si="1"/>
        <v>0</v>
      </c>
      <c r="L59">
        <f t="shared" si="2"/>
        <v>-80.93745368521503</v>
      </c>
      <c r="M59">
        <f t="shared" si="3"/>
        <v>2613.7668409241096</v>
      </c>
      <c r="N59">
        <f t="shared" si="4"/>
        <v>-14376.143990652503</v>
      </c>
      <c r="O59">
        <f t="shared" si="5"/>
        <v>2613.7668409241096</v>
      </c>
      <c r="P59">
        <f t="shared" si="6"/>
        <v>-13849.776178152511</v>
      </c>
    </row>
    <row r="60" spans="2:16" ht="15">
      <c r="B60">
        <f t="shared" si="7"/>
        <v>2.549999999999999</v>
      </c>
      <c r="C60">
        <f>IF(Eingabe_Ausgabe!$B$13=1,Berechnung!C59,C59+G59*B60)</f>
        <v>41.00026417135857</v>
      </c>
      <c r="D60">
        <f>IF(Eingabe_Ausgabe!$B$13=1,Berechnung!D59+dt*g,D59+H59*B60)</f>
        <v>-257.53955279454897</v>
      </c>
      <c r="E60">
        <f>0.5*roh_luft*Eingabe_Ausgabe!$B$7*(C60*C60+D60*D60)</f>
        <v>4814555.923144738</v>
      </c>
      <c r="F60">
        <f t="shared" si="0"/>
        <v>-1.412921316596023</v>
      </c>
      <c r="G60">
        <f>IF(Eingabe_Ausgabe!$B$13=1,0,-COS(F60)*E60/m)</f>
        <v>0</v>
      </c>
      <c r="H60">
        <f>IF(Eingabe_Ausgabe!$B$13=1,g,g-SIN(F60)*E60/m)</f>
        <v>-9.81</v>
      </c>
      <c r="I60" s="4">
        <f t="shared" si="9"/>
        <v>0</v>
      </c>
      <c r="J60" s="4">
        <f t="shared" si="8"/>
        <v>0</v>
      </c>
      <c r="K60">
        <f t="shared" si="1"/>
        <v>0</v>
      </c>
      <c r="L60">
        <f t="shared" si="2"/>
        <v>-80.95442822501973</v>
      </c>
      <c r="M60">
        <f t="shared" si="3"/>
        <v>2718.317514561074</v>
      </c>
      <c r="N60">
        <f t="shared" si="4"/>
        <v>-15032.869850278603</v>
      </c>
      <c r="O60">
        <f t="shared" si="5"/>
        <v>2718.317514561074</v>
      </c>
      <c r="P60">
        <f t="shared" si="6"/>
        <v>-14474.607275278611</v>
      </c>
    </row>
    <row r="61" spans="2:16" ht="15">
      <c r="B61">
        <f t="shared" si="7"/>
        <v>2.5999999999999988</v>
      </c>
      <c r="C61">
        <f>IF(Eingabe_Ausgabe!$B$13=1,Berechnung!C60,C60+G60*B61)</f>
        <v>41.00026417135857</v>
      </c>
      <c r="D61">
        <f>IF(Eingabe_Ausgabe!$B$13=1,Berechnung!D60+dt*g,D60+H60*B61)</f>
        <v>-258.03005279454896</v>
      </c>
      <c r="E61">
        <f>0.5*roh_luft*Eingabe_Ausgabe!$B$7*(C61*C61+D61*D61)</f>
        <v>4832458.882714519</v>
      </c>
      <c r="F61">
        <f t="shared" si="0"/>
        <v>-1.4132164796424902</v>
      </c>
      <c r="G61">
        <f>IF(Eingabe_Ausgabe!$B$13=1,0,-COS(F61)*E61/m)</f>
        <v>0</v>
      </c>
      <c r="H61">
        <f>IF(Eingabe_Ausgabe!$B$13=1,g,g-SIN(F61)*E61/m)</f>
        <v>-9.81</v>
      </c>
      <c r="I61" s="4">
        <f t="shared" si="9"/>
        <v>0</v>
      </c>
      <c r="J61" s="4">
        <f t="shared" si="8"/>
        <v>0</v>
      </c>
      <c r="K61">
        <f t="shared" si="1"/>
        <v>0</v>
      </c>
      <c r="L61">
        <f t="shared" si="2"/>
        <v>-80.9713398218505</v>
      </c>
      <c r="M61">
        <f t="shared" si="3"/>
        <v>2824.9182014066064</v>
      </c>
      <c r="N61">
        <f t="shared" si="4"/>
        <v>-15703.74798754443</v>
      </c>
      <c r="O61">
        <f t="shared" si="5"/>
        <v>2824.9182014066064</v>
      </c>
      <c r="P61">
        <f t="shared" si="6"/>
        <v>-15112.327612544439</v>
      </c>
    </row>
    <row r="62" spans="2:16" ht="15">
      <c r="B62">
        <f t="shared" si="7"/>
        <v>2.6499999999999986</v>
      </c>
      <c r="C62">
        <f>IF(Eingabe_Ausgabe!$B$13=1,Berechnung!C61,C61+G61*B62)</f>
        <v>41.00026417135857</v>
      </c>
      <c r="D62">
        <f>IF(Eingabe_Ausgabe!$B$13=1,Berechnung!D61+dt*g,D61+H61*B62)</f>
        <v>-258.52055279454896</v>
      </c>
      <c r="E62">
        <f>0.5*roh_luft*Eingabe_Ausgabe!$B$7*(C62*C62+D62*D62)</f>
        <v>4850395.907138294</v>
      </c>
      <c r="F62">
        <f t="shared" si="0"/>
        <v>-1.4135105501747052</v>
      </c>
      <c r="G62">
        <f>IF(Eingabe_Ausgabe!$B$13=1,0,-COS(F62)*E62/m)</f>
        <v>0</v>
      </c>
      <c r="H62">
        <f>IF(Eingabe_Ausgabe!$B$13=1,g,g-SIN(F62)*E62/m)</f>
        <v>-9.81</v>
      </c>
      <c r="I62" s="4">
        <f t="shared" si="9"/>
        <v>0</v>
      </c>
      <c r="J62" s="4">
        <f t="shared" si="8"/>
        <v>0</v>
      </c>
      <c r="K62">
        <f t="shared" si="1"/>
        <v>0</v>
      </c>
      <c r="L62">
        <f t="shared" si="2"/>
        <v>-80.9881888222256</v>
      </c>
      <c r="M62">
        <f t="shared" si="3"/>
        <v>2933.5689014607065</v>
      </c>
      <c r="N62">
        <f t="shared" si="4"/>
        <v>-16388.827452449983</v>
      </c>
      <c r="O62">
        <f t="shared" si="5"/>
        <v>2933.5689014607065</v>
      </c>
      <c r="P62">
        <f t="shared" si="6"/>
        <v>-15762.961714949994</v>
      </c>
    </row>
    <row r="63" spans="2:16" ht="15">
      <c r="B63">
        <f t="shared" si="7"/>
        <v>2.6999999999999984</v>
      </c>
      <c r="C63">
        <f>IF(Eingabe_Ausgabe!$B$13=1,Berechnung!C62,C62+G62*B63)</f>
        <v>41.00026417135857</v>
      </c>
      <c r="D63">
        <f>IF(Eingabe_Ausgabe!$B$13=1,Berechnung!D62+dt*g,D62+H62*B63)</f>
        <v>-259.01105279454896</v>
      </c>
      <c r="E63">
        <f>0.5*roh_luft*Eingabe_Ausgabe!$B$7*(C63*C63+D63*D63)</f>
        <v>4868366.996416062</v>
      </c>
      <c r="F63">
        <f t="shared" si="0"/>
        <v>-1.413803534196619</v>
      </c>
      <c r="G63">
        <f>IF(Eingabe_Ausgabe!$B$13=1,0,-COS(F63)*E63/m)</f>
        <v>0</v>
      </c>
      <c r="H63">
        <f>IF(Eingabe_Ausgabe!$B$13=1,g,g-SIN(F63)*E63/m)</f>
        <v>-9.81</v>
      </c>
      <c r="I63" s="4">
        <f t="shared" si="9"/>
        <v>0</v>
      </c>
      <c r="J63" s="4">
        <f t="shared" si="8"/>
        <v>0</v>
      </c>
      <c r="K63">
        <f t="shared" si="1"/>
        <v>0</v>
      </c>
      <c r="L63">
        <f t="shared" si="2"/>
        <v>-81.00497557014603</v>
      </c>
      <c r="M63">
        <f t="shared" si="3"/>
        <v>3044.2696147233746</v>
      </c>
      <c r="N63">
        <f t="shared" si="4"/>
        <v>-17088.157294995264</v>
      </c>
      <c r="O63">
        <f t="shared" si="5"/>
        <v>3044.2696147233746</v>
      </c>
      <c r="P63">
        <f t="shared" si="6"/>
        <v>-16426.534107495278</v>
      </c>
    </row>
    <row r="64" spans="2:16" ht="15">
      <c r="B64">
        <f t="shared" si="7"/>
        <v>2.7499999999999982</v>
      </c>
      <c r="C64">
        <f>IF(Eingabe_Ausgabe!$B$13=1,Berechnung!C63,C63+G63*B64)</f>
        <v>41.00026417135857</v>
      </c>
      <c r="D64">
        <f>IF(Eingabe_Ausgabe!$B$13=1,Berechnung!D63+dt*g,D63+H63*B64)</f>
        <v>-259.50155279454896</v>
      </c>
      <c r="E64">
        <f>0.5*roh_luft*Eingabe_Ausgabe!$B$7*(C64*C64+D64*D64)</f>
        <v>4886372.150547824</v>
      </c>
      <c r="F64">
        <f t="shared" si="0"/>
        <v>-1.414095437668645</v>
      </c>
      <c r="G64">
        <f>IF(Eingabe_Ausgabe!$B$13=1,0,-COS(F64)*E64/m)</f>
        <v>0</v>
      </c>
      <c r="H64">
        <f>IF(Eingabe_Ausgabe!$B$13=1,g,g-SIN(F64)*E64/m)</f>
        <v>-9.81</v>
      </c>
      <c r="I64" s="4">
        <f t="shared" si="9"/>
        <v>0</v>
      </c>
      <c r="J64" s="4">
        <f t="shared" si="8"/>
        <v>0</v>
      </c>
      <c r="K64">
        <f t="shared" si="1"/>
        <v>0</v>
      </c>
      <c r="L64">
        <f t="shared" si="2"/>
        <v>-81.02170040711833</v>
      </c>
      <c r="M64">
        <f t="shared" si="3"/>
        <v>3157.0203411946104</v>
      </c>
      <c r="N64">
        <f t="shared" si="4"/>
        <v>-17801.786565180275</v>
      </c>
      <c r="O64">
        <f t="shared" si="5"/>
        <v>3157.0203411946104</v>
      </c>
      <c r="P64">
        <f t="shared" si="6"/>
        <v>-17103.069315180288</v>
      </c>
    </row>
    <row r="65" spans="2:16" ht="15">
      <c r="B65">
        <f t="shared" si="7"/>
        <v>2.799999999999998</v>
      </c>
      <c r="C65">
        <f>IF(Eingabe_Ausgabe!$B$13=1,Berechnung!C64,C64+G64*B65)</f>
        <v>41.00026417135857</v>
      </c>
      <c r="D65">
        <f>IF(Eingabe_Ausgabe!$B$13=1,Berechnung!D64+dt*g,D64+H64*B65)</f>
        <v>-259.99205279454895</v>
      </c>
      <c r="E65">
        <f>0.5*roh_luft*Eingabe_Ausgabe!$B$7*(C65*C65+D65*D65)</f>
        <v>4904411.36953358</v>
      </c>
      <c r="F65">
        <f t="shared" si="0"/>
        <v>-1.4143862665080487</v>
      </c>
      <c r="G65">
        <f>IF(Eingabe_Ausgabe!$B$13=1,0,-COS(F65)*E65/m)</f>
        <v>0</v>
      </c>
      <c r="H65">
        <f>IF(Eingabe_Ausgabe!$B$13=1,g,g-SIN(F65)*E65/m)</f>
        <v>-9.81</v>
      </c>
      <c r="I65" s="4">
        <f t="shared" si="9"/>
        <v>0</v>
      </c>
      <c r="J65" s="4">
        <f t="shared" si="8"/>
        <v>0</v>
      </c>
      <c r="K65">
        <f t="shared" si="1"/>
        <v>0</v>
      </c>
      <c r="L65">
        <f t="shared" si="2"/>
        <v>-81.03836367217684</v>
      </c>
      <c r="M65">
        <f t="shared" si="3"/>
        <v>3271.8210808744143</v>
      </c>
      <c r="N65">
        <f t="shared" si="4"/>
        <v>-18529.764313005013</v>
      </c>
      <c r="O65">
        <f t="shared" si="5"/>
        <v>3271.8210808744143</v>
      </c>
      <c r="P65">
        <f t="shared" si="6"/>
        <v>-17792.591863005026</v>
      </c>
    </row>
    <row r="66" spans="2:16" ht="15">
      <c r="B66">
        <f t="shared" si="7"/>
        <v>2.849999999999998</v>
      </c>
      <c r="C66">
        <f>IF(Eingabe_Ausgabe!$B$13=1,Berechnung!C65,C65+G65*B66)</f>
        <v>41.00026417135857</v>
      </c>
      <c r="D66">
        <f>IF(Eingabe_Ausgabe!$B$13=1,Berechnung!D65+dt*g,D65+H65*B66)</f>
        <v>-260.48255279454895</v>
      </c>
      <c r="E66">
        <f>0.5*roh_luft*Eingabe_Ausgabe!$B$7*(C66*C66+D66*D66)</f>
        <v>4922484.653373329</v>
      </c>
      <c r="F66">
        <f t="shared" si="0"/>
        <v>-1.4146760265893343</v>
      </c>
      <c r="G66">
        <f>IF(Eingabe_Ausgabe!$B$13=1,0,-COS(F66)*E66/m)</f>
        <v>0</v>
      </c>
      <c r="H66">
        <f>IF(Eingabe_Ausgabe!$B$13=1,g,g-SIN(F66)*E66/m)</f>
        <v>-9.81</v>
      </c>
      <c r="I66" s="4">
        <f t="shared" si="9"/>
        <v>0</v>
      </c>
      <c r="J66" s="4">
        <f t="shared" si="8"/>
        <v>0</v>
      </c>
      <c r="K66">
        <f t="shared" si="1"/>
        <v>0</v>
      </c>
      <c r="L66">
        <f t="shared" si="2"/>
        <v>-81.05496570190589</v>
      </c>
      <c r="M66">
        <f t="shared" si="3"/>
        <v>3388.6718337627863</v>
      </c>
      <c r="N66">
        <f t="shared" si="4"/>
        <v>-19272.139588469476</v>
      </c>
      <c r="O66">
        <f t="shared" si="5"/>
        <v>3388.6718337627863</v>
      </c>
      <c r="P66">
        <f t="shared" si="6"/>
        <v>-18495.12627596949</v>
      </c>
    </row>
    <row r="67" spans="2:16" ht="15">
      <c r="B67">
        <f t="shared" si="7"/>
        <v>2.8999999999999977</v>
      </c>
      <c r="C67">
        <f>IF(Eingabe_Ausgabe!$B$13=1,Berechnung!C66,C66+G66*B67)</f>
        <v>41.00026417135857</v>
      </c>
      <c r="D67">
        <f>IF(Eingabe_Ausgabe!$B$13=1,Berechnung!D66+dt*g,D66+H66*B67)</f>
        <v>-260.97305279454895</v>
      </c>
      <c r="E67">
        <f>0.5*roh_luft*Eingabe_Ausgabe!$B$7*(C67*C67+D67*D67)</f>
        <v>4940592.002067071</v>
      </c>
      <c r="F67">
        <f t="shared" si="0"/>
        <v>-1.4149647237446275</v>
      </c>
      <c r="G67">
        <f>IF(Eingabe_Ausgabe!$B$13=1,0,-COS(F67)*E67/m)</f>
        <v>0</v>
      </c>
      <c r="H67">
        <f>IF(Eingabe_Ausgabe!$B$13=1,g,g-SIN(F67)*E67/m)</f>
        <v>-9.81</v>
      </c>
      <c r="I67" s="4">
        <f t="shared" si="9"/>
        <v>0</v>
      </c>
      <c r="J67" s="4">
        <f t="shared" si="8"/>
        <v>0</v>
      </c>
      <c r="K67">
        <f t="shared" si="1"/>
        <v>0</v>
      </c>
      <c r="L67">
        <f t="shared" si="2"/>
        <v>-81.07150683046162</v>
      </c>
      <c r="M67">
        <f t="shared" si="3"/>
        <v>3507.572599859726</v>
      </c>
      <c r="N67">
        <f t="shared" si="4"/>
        <v>-20028.96144157367</v>
      </c>
      <c r="O67">
        <f t="shared" si="5"/>
        <v>3507.572599859726</v>
      </c>
      <c r="P67">
        <f t="shared" si="6"/>
        <v>-19210.69707907368</v>
      </c>
    </row>
    <row r="68" spans="2:16" ht="15">
      <c r="B68">
        <f t="shared" si="7"/>
        <v>2.9499999999999975</v>
      </c>
      <c r="C68">
        <f>IF(Eingabe_Ausgabe!$B$13=1,Berechnung!C67,C67+G67*B68)</f>
        <v>41.00026417135857</v>
      </c>
      <c r="D68">
        <f>IF(Eingabe_Ausgabe!$B$13=1,Berechnung!D67+dt*g,D67+H67*B68)</f>
        <v>-261.46355279454895</v>
      </c>
      <c r="E68">
        <f>0.5*roh_luft*Eingabe_Ausgabe!$B$7*(C68*C68+D68*D68)</f>
        <v>4958733.415614808</v>
      </c>
      <c r="F68">
        <f t="shared" si="0"/>
        <v>-1.4152523637640524</v>
      </c>
      <c r="G68">
        <f>IF(Eingabe_Ausgabe!$B$13=1,0,-COS(F68)*E68/m)</f>
        <v>0</v>
      </c>
      <c r="H68">
        <f>IF(Eingabe_Ausgabe!$B$13=1,g,g-SIN(F68)*E68/m)</f>
        <v>-9.81</v>
      </c>
      <c r="I68" s="4">
        <f t="shared" si="9"/>
        <v>0</v>
      </c>
      <c r="J68" s="4">
        <f t="shared" si="8"/>
        <v>0</v>
      </c>
      <c r="K68">
        <f t="shared" si="1"/>
        <v>0</v>
      </c>
      <c r="L68">
        <f t="shared" si="2"/>
        <v>-81.08798738959372</v>
      </c>
      <c r="M68">
        <f t="shared" si="3"/>
        <v>3628.5233791652336</v>
      </c>
      <c r="N68">
        <f t="shared" si="4"/>
        <v>-20800.278922317586</v>
      </c>
      <c r="O68">
        <f t="shared" si="5"/>
        <v>3628.5233791652336</v>
      </c>
      <c r="P68">
        <f t="shared" si="6"/>
        <v>-19939.3287973176</v>
      </c>
    </row>
    <row r="69" spans="2:16" ht="15">
      <c r="B69">
        <f t="shared" si="7"/>
        <v>2.9999999999999973</v>
      </c>
      <c r="C69">
        <f>IF(Eingabe_Ausgabe!$B$13=1,Berechnung!C68,C68+G68*B69)</f>
        <v>41.00026417135857</v>
      </c>
      <c r="D69">
        <f>IF(Eingabe_Ausgabe!$B$13=1,Berechnung!D68+dt*g,D68+H68*B69)</f>
        <v>-261.95405279454894</v>
      </c>
      <c r="E69">
        <f>0.5*roh_luft*Eingabe_Ausgabe!$B$7*(C69*C69+D69*D69)</f>
        <v>4976908.894016539</v>
      </c>
      <c r="F69">
        <f t="shared" si="0"/>
        <v>-1.4155389523961068</v>
      </c>
      <c r="G69">
        <f>IF(Eingabe_Ausgabe!$B$13=1,0,-COS(F69)*E69/m)</f>
        <v>0</v>
      </c>
      <c r="H69">
        <f>IF(Eingabe_Ausgabe!$B$13=1,g,g-SIN(F69)*E69/m)</f>
        <v>-9.81</v>
      </c>
      <c r="I69" s="4">
        <f t="shared" si="9"/>
        <v>0</v>
      </c>
      <c r="J69" s="4">
        <f t="shared" si="8"/>
        <v>0</v>
      </c>
      <c r="K69">
        <f t="shared" si="1"/>
        <v>0</v>
      </c>
      <c r="L69">
        <f t="shared" si="2"/>
        <v>-81.10440770866687</v>
      </c>
      <c r="M69">
        <f t="shared" si="3"/>
        <v>3751.5241716793093</v>
      </c>
      <c r="N69">
        <f t="shared" si="4"/>
        <v>-21586.141080701233</v>
      </c>
      <c r="O69">
        <f t="shared" si="5"/>
        <v>3751.5241716793093</v>
      </c>
      <c r="P69">
        <f t="shared" si="6"/>
        <v>-20681.045955701247</v>
      </c>
    </row>
    <row r="70" spans="2:16" ht="15">
      <c r="B70">
        <f t="shared" si="7"/>
        <v>3.049999999999997</v>
      </c>
      <c r="C70">
        <f>IF(Eingabe_Ausgabe!$B$13=1,Berechnung!C69,C69+G69*B70)</f>
        <v>41.00026417135857</v>
      </c>
      <c r="D70">
        <f>IF(Eingabe_Ausgabe!$B$13=1,Berechnung!D69+dt*g,D69+H69*B70)</f>
        <v>-262.44455279454894</v>
      </c>
      <c r="E70">
        <f>0.5*roh_luft*Eingabe_Ausgabe!$B$7*(C70*C70+D70*D70)</f>
        <v>4995118.437272262</v>
      </c>
      <c r="F70">
        <f t="shared" si="0"/>
        <v>-1.4158244953480323</v>
      </c>
      <c r="G70">
        <f>IF(Eingabe_Ausgabe!$B$13=1,0,-COS(F70)*E70/m)</f>
        <v>0</v>
      </c>
      <c r="H70">
        <f>IF(Eingabe_Ausgabe!$B$13=1,g,g-SIN(F70)*E70/m)</f>
        <v>-9.81</v>
      </c>
      <c r="I70" s="4">
        <f t="shared" si="9"/>
        <v>0</v>
      </c>
      <c r="J70" s="4">
        <f t="shared" si="8"/>
        <v>0</v>
      </c>
      <c r="K70">
        <f t="shared" si="1"/>
        <v>0</v>
      </c>
      <c r="L70">
        <f t="shared" si="2"/>
        <v>-81.12076811468191</v>
      </c>
      <c r="M70">
        <f t="shared" si="3"/>
        <v>3876.5749774019528</v>
      </c>
      <c r="N70">
        <f t="shared" si="4"/>
        <v>-22386.596966724606</v>
      </c>
      <c r="O70">
        <f t="shared" si="5"/>
        <v>3876.5749774019528</v>
      </c>
      <c r="P70">
        <f t="shared" si="6"/>
        <v>-21435.87307922462</v>
      </c>
    </row>
    <row r="71" spans="2:16" ht="15">
      <c r="B71">
        <f t="shared" si="7"/>
        <v>3.099999999999997</v>
      </c>
      <c r="C71">
        <f>IF(Eingabe_Ausgabe!$B$13=1,Berechnung!C70,C70+G70*B71)</f>
        <v>41.00026417135857</v>
      </c>
      <c r="D71">
        <f>IF(Eingabe_Ausgabe!$B$13=1,Berechnung!D70+dt*g,D70+H70*B71)</f>
        <v>-262.93505279454894</v>
      </c>
      <c r="E71">
        <f>0.5*roh_luft*Eingabe_Ausgabe!$B$7*(C71*C71+D71*D71)</f>
        <v>5013362.04538198</v>
      </c>
      <c r="F71">
        <f t="shared" si="0"/>
        <v>-1.4161089982861799</v>
      </c>
      <c r="G71">
        <f>IF(Eingabe_Ausgabe!$B$13=1,0,-COS(F71)*E71/m)</f>
        <v>0</v>
      </c>
      <c r="H71">
        <f>IF(Eingabe_Ausgabe!$B$13=1,g,g-SIN(F71)*E71/m)</f>
        <v>-9.81</v>
      </c>
      <c r="I71" s="4">
        <f t="shared" si="9"/>
        <v>0</v>
      </c>
      <c r="J71" s="4">
        <f t="shared" si="8"/>
        <v>0</v>
      </c>
      <c r="K71">
        <f t="shared" si="1"/>
        <v>0</v>
      </c>
      <c r="L71">
        <f t="shared" si="2"/>
        <v>-81.13706893229684</v>
      </c>
      <c r="M71">
        <f t="shared" si="3"/>
        <v>4003.6757963331643</v>
      </c>
      <c r="N71">
        <f t="shared" si="4"/>
        <v>-23201.69563038771</v>
      </c>
      <c r="O71">
        <f t="shared" si="5"/>
        <v>4003.6757963331643</v>
      </c>
      <c r="P71">
        <f t="shared" si="6"/>
        <v>-22203.83469288772</v>
      </c>
    </row>
    <row r="72" spans="2:16" ht="15">
      <c r="B72">
        <f t="shared" si="7"/>
        <v>3.149999999999997</v>
      </c>
      <c r="C72">
        <f>IF(Eingabe_Ausgabe!$B$13=1,Berechnung!C71,C71+G71*B72)</f>
        <v>41.00026417135857</v>
      </c>
      <c r="D72">
        <f>IF(Eingabe_Ausgabe!$B$13=1,Berechnung!D71+dt*g,D71+H71*B72)</f>
        <v>-263.42555279454893</v>
      </c>
      <c r="E72">
        <f>0.5*roh_luft*Eingabe_Ausgabe!$B$7*(C72*C72+D72*D72)</f>
        <v>5031639.7183456905</v>
      </c>
      <c r="F72">
        <f t="shared" si="0"/>
        <v>-1.4163924668363725</v>
      </c>
      <c r="G72">
        <f>IF(Eingabe_Ausgabe!$B$13=1,0,-COS(F72)*E72/m)</f>
        <v>0</v>
      </c>
      <c r="H72">
        <f>IF(Eingabe_Ausgabe!$B$13=1,g,g-SIN(F72)*E72/m)</f>
        <v>-9.81</v>
      </c>
      <c r="I72" s="4">
        <f t="shared" si="9"/>
        <v>0</v>
      </c>
      <c r="J72" s="4">
        <f t="shared" si="8"/>
        <v>0</v>
      </c>
      <c r="K72">
        <f t="shared" si="1"/>
        <v>0</v>
      </c>
      <c r="L72">
        <f t="shared" si="2"/>
        <v>-81.15331048384756</v>
      </c>
      <c r="M72">
        <f t="shared" si="3"/>
        <v>4132.826628472943</v>
      </c>
      <c r="N72">
        <f t="shared" si="4"/>
        <v>-24031.486121690537</v>
      </c>
      <c r="O72">
        <f t="shared" si="5"/>
        <v>4132.826628472943</v>
      </c>
      <c r="P72">
        <f t="shared" si="6"/>
        <v>-22984.955321690548</v>
      </c>
    </row>
    <row r="73" spans="2:16" ht="15">
      <c r="B73">
        <f t="shared" si="7"/>
        <v>3.1999999999999966</v>
      </c>
      <c r="C73">
        <f>IF(Eingabe_Ausgabe!$B$13=1,Berechnung!C72,C72+G72*B73)</f>
        <v>41.00026417135857</v>
      </c>
      <c r="D73">
        <f>IF(Eingabe_Ausgabe!$B$13=1,Berechnung!D72+dt*g,D72+H72*B73)</f>
        <v>-263.91605279454893</v>
      </c>
      <c r="E73">
        <f>0.5*roh_luft*Eingabe_Ausgabe!$B$7*(C73*C73+D73*D73)</f>
        <v>5049951.456163395</v>
      </c>
      <c r="F73">
        <f aca="true" t="shared" si="10" ref="F73:F136">ATAN(D73/C73)</f>
        <v>-1.4166749065842643</v>
      </c>
      <c r="G73">
        <f>IF(Eingabe_Ausgabe!$B$13=1,0,-COS(F73)*E73/m)</f>
        <v>0</v>
      </c>
      <c r="H73">
        <f>IF(Eingabe_Ausgabe!$B$13=1,g,g-SIN(F73)*E73/m)</f>
        <v>-9.81</v>
      </c>
      <c r="I73" s="4">
        <f t="shared" si="9"/>
        <v>0</v>
      </c>
      <c r="J73" s="4">
        <f t="shared" si="8"/>
        <v>0</v>
      </c>
      <c r="K73">
        <f t="shared" si="1"/>
        <v>0</v>
      </c>
      <c r="L73">
        <f t="shared" si="2"/>
        <v>-81.1694930893685</v>
      </c>
      <c r="M73">
        <f t="shared" si="3"/>
        <v>4264.027473821291</v>
      </c>
      <c r="N73">
        <f t="shared" si="4"/>
        <v>-24876.017490633094</v>
      </c>
      <c r="O73">
        <f t="shared" si="5"/>
        <v>4264.027473821291</v>
      </c>
      <c r="P73">
        <f t="shared" si="6"/>
        <v>-23779.259490633107</v>
      </c>
    </row>
    <row r="74" spans="2:16" ht="15">
      <c r="B74">
        <f t="shared" si="7"/>
        <v>3.2499999999999964</v>
      </c>
      <c r="C74">
        <f>IF(Eingabe_Ausgabe!$B$13=1,Berechnung!C73,C73+G73*B74)</f>
        <v>41.00026417135857</v>
      </c>
      <c r="D74">
        <f>IF(Eingabe_Ausgabe!$B$13=1,Berechnung!D73+dt*g,D73+H73*B74)</f>
        <v>-264.40655279454893</v>
      </c>
      <c r="E74">
        <f>0.5*roh_luft*Eingabe_Ausgabe!$B$7*(C74*C74+D74*D74)</f>
        <v>5068297.258835095</v>
      </c>
      <c r="F74">
        <f t="shared" si="10"/>
        <v>-1.4169563230756947</v>
      </c>
      <c r="G74">
        <f>IF(Eingabe_Ausgabe!$B$13=1,0,-COS(F74)*E74/m)</f>
        <v>0</v>
      </c>
      <c r="H74">
        <f>IF(Eingabe_Ausgabe!$B$13=1,g,g-SIN(F74)*E74/m)</f>
        <v>-9.81</v>
      </c>
      <c r="I74" s="4">
        <f t="shared" si="9"/>
        <v>0</v>
      </c>
      <c r="J74" s="4">
        <f t="shared" si="8"/>
        <v>0</v>
      </c>
      <c r="K74">
        <f aca="true" t="shared" si="11" ref="K74:K137">IF(N73&lt;=0,0,SQRT(C74*C74+D74*D74)*3.6)</f>
        <v>0</v>
      </c>
      <c r="L74">
        <f aca="true" t="shared" si="12" ref="L74:L137">DEGREES(F74)</f>
        <v>-81.18561706661285</v>
      </c>
      <c r="M74">
        <f aca="true" t="shared" si="13" ref="M74:M137">M73+C74*B74</f>
        <v>4397.278332378206</v>
      </c>
      <c r="N74">
        <f aca="true" t="shared" si="14" ref="N74:N137">N73+D74*B74</f>
        <v>-25735.338787215376</v>
      </c>
      <c r="O74">
        <f aca="true" t="shared" si="15" ref="O74:O137">O73+$C$9*B74</f>
        <v>4397.278332378206</v>
      </c>
      <c r="P74">
        <f aca="true" t="shared" si="16" ref="P74:P137">P73+v_Anfang*SIN(alpha)*B74+g/2*B74*B74</f>
        <v>-24586.771724715392</v>
      </c>
    </row>
    <row r="75" spans="2:16" ht="15">
      <c r="B75">
        <f aca="true" t="shared" si="17" ref="B75:B138">$B$10+B74</f>
        <v>3.2999999999999963</v>
      </c>
      <c r="C75">
        <f>IF(Eingabe_Ausgabe!$B$13=1,Berechnung!C74,C74+G74*B75)</f>
        <v>41.00026417135857</v>
      </c>
      <c r="D75">
        <f>IF(Eingabe_Ausgabe!$B$13=1,Berechnung!D74+dt*g,D74+H74*B75)</f>
        <v>-264.8970527945489</v>
      </c>
      <c r="E75">
        <f>0.5*roh_luft*Eingabe_Ausgabe!$B$7*(C75*C75+D75*D75)</f>
        <v>5086677.126360786</v>
      </c>
      <c r="F75">
        <f t="shared" si="10"/>
        <v>-1.41723672181704</v>
      </c>
      <c r="G75">
        <f>IF(Eingabe_Ausgabe!$B$13=1,0,-COS(F75)*E75/m)</f>
        <v>0</v>
      </c>
      <c r="H75">
        <f>IF(Eingabe_Ausgabe!$B$13=1,g,g-SIN(F75)*E75/m)</f>
        <v>-9.81</v>
      </c>
      <c r="I75" s="4">
        <f t="shared" si="9"/>
        <v>0</v>
      </c>
      <c r="J75" s="4">
        <f aca="true" t="shared" si="18" ref="J75:J138">IF($B$1*3.6&lt;=K75,1,0)</f>
        <v>0</v>
      </c>
      <c r="K75">
        <f t="shared" si="11"/>
        <v>0</v>
      </c>
      <c r="L75">
        <f t="shared" si="12"/>
        <v>-81.20168273107272</v>
      </c>
      <c r="M75">
        <f t="shared" si="13"/>
        <v>4532.579204143689</v>
      </c>
      <c r="N75">
        <f t="shared" si="14"/>
        <v>-26609.499061437386</v>
      </c>
      <c r="O75">
        <f t="shared" si="15"/>
        <v>4532.579204143689</v>
      </c>
      <c r="P75">
        <f t="shared" si="16"/>
        <v>-25407.516548937405</v>
      </c>
    </row>
    <row r="76" spans="2:16" ht="15">
      <c r="B76">
        <f t="shared" si="17"/>
        <v>3.349999999999996</v>
      </c>
      <c r="C76">
        <f>IF(Eingabe_Ausgabe!$B$13=1,Berechnung!C75,C75+G75*B76)</f>
        <v>41.00026417135857</v>
      </c>
      <c r="D76">
        <f>IF(Eingabe_Ausgabe!$B$13=1,Berechnung!D75+dt*g,D75+H75*B76)</f>
        <v>-265.3875527945489</v>
      </c>
      <c r="E76">
        <f>0.5*roh_luft*Eingabe_Ausgabe!$B$7*(C76*C76+D76*D76)</f>
        <v>5105091.0587404715</v>
      </c>
      <c r="F76">
        <f t="shared" si="10"/>
        <v>-1.4175161082755607</v>
      </c>
      <c r="G76">
        <f>IF(Eingabe_Ausgabe!$B$13=1,0,-COS(F76)*E76/m)</f>
        <v>0</v>
      </c>
      <c r="H76">
        <f>IF(Eingabe_Ausgabe!$B$13=1,g,g-SIN(F76)*E76/m)</f>
        <v>-9.81</v>
      </c>
      <c r="I76" s="4">
        <f aca="true" t="shared" si="19" ref="I76:I139">IF(AND(N76&lt;=0,I75=0,N75&gt;0),1,0)</f>
        <v>0</v>
      </c>
      <c r="J76" s="4">
        <f t="shared" si="18"/>
        <v>0</v>
      </c>
      <c r="K76">
        <f t="shared" si="11"/>
        <v>0</v>
      </c>
      <c r="L76">
        <f t="shared" si="12"/>
        <v>-81.21769039599906</v>
      </c>
      <c r="M76">
        <f t="shared" si="13"/>
        <v>4669.93008911774</v>
      </c>
      <c r="N76">
        <f t="shared" si="14"/>
        <v>-27498.547363299123</v>
      </c>
      <c r="O76">
        <f t="shared" si="15"/>
        <v>4669.93008911774</v>
      </c>
      <c r="P76">
        <f t="shared" si="16"/>
        <v>-26241.518488299145</v>
      </c>
    </row>
    <row r="77" spans="2:16" ht="15">
      <c r="B77">
        <f t="shared" si="17"/>
        <v>3.399999999999996</v>
      </c>
      <c r="C77">
        <f>IF(Eingabe_Ausgabe!$B$13=1,Berechnung!C76,C76+G76*B77)</f>
        <v>41.00026417135857</v>
      </c>
      <c r="D77">
        <f>IF(Eingabe_Ausgabe!$B$13=1,Berechnung!D76+dt*g,D76+H76*B77)</f>
        <v>-265.8780527945489</v>
      </c>
      <c r="E77">
        <f>0.5*roh_luft*Eingabe_Ausgabe!$B$7*(C77*C77+D77*D77)</f>
        <v>5123539.055974152</v>
      </c>
      <c r="F77">
        <f t="shared" si="10"/>
        <v>-1.417794487879745</v>
      </c>
      <c r="G77">
        <f>IF(Eingabe_Ausgabe!$B$13=1,0,-COS(F77)*E77/m)</f>
        <v>0</v>
      </c>
      <c r="H77">
        <f>IF(Eingabe_Ausgabe!$B$13=1,g,g-SIN(F77)*E77/m)</f>
        <v>-9.81</v>
      </c>
      <c r="I77" s="4">
        <f t="shared" si="19"/>
        <v>0</v>
      </c>
      <c r="J77" s="4">
        <f t="shared" si="18"/>
        <v>0</v>
      </c>
      <c r="K77">
        <f t="shared" si="11"/>
        <v>0</v>
      </c>
      <c r="L77">
        <f t="shared" si="12"/>
        <v>-81.23364037242133</v>
      </c>
      <c r="M77">
        <f t="shared" si="13"/>
        <v>4809.330987300359</v>
      </c>
      <c r="N77">
        <f t="shared" si="14"/>
        <v>-28402.532742800588</v>
      </c>
      <c r="O77">
        <f t="shared" si="15"/>
        <v>4809.330987300359</v>
      </c>
      <c r="P77">
        <f t="shared" si="16"/>
        <v>-27088.80206780061</v>
      </c>
    </row>
    <row r="78" spans="2:16" ht="15">
      <c r="B78">
        <f t="shared" si="17"/>
        <v>3.4499999999999957</v>
      </c>
      <c r="C78">
        <f>IF(Eingabe_Ausgabe!$B$13=1,Berechnung!C77,C77+G77*B78)</f>
        <v>41.00026417135857</v>
      </c>
      <c r="D78">
        <f>IF(Eingabe_Ausgabe!$B$13=1,Berechnung!D77+dt*g,D77+H77*B78)</f>
        <v>-266.3685527945489</v>
      </c>
      <c r="E78">
        <f>0.5*roh_luft*Eingabe_Ausgabe!$B$7*(C78*C78+D78*D78)</f>
        <v>5142021.118061825</v>
      </c>
      <c r="F78">
        <f t="shared" si="10"/>
        <v>-1.4180718660196499</v>
      </c>
      <c r="G78">
        <f>IF(Eingabe_Ausgabe!$B$13=1,0,-COS(F78)*E78/m)</f>
        <v>0</v>
      </c>
      <c r="H78">
        <f>IF(Eingabe_Ausgabe!$B$13=1,g,g-SIN(F78)*E78/m)</f>
        <v>-9.81</v>
      </c>
      <c r="I78" s="4">
        <f t="shared" si="19"/>
        <v>0</v>
      </c>
      <c r="J78" s="4">
        <f t="shared" si="18"/>
        <v>0</v>
      </c>
      <c r="K78">
        <f t="shared" si="11"/>
        <v>0</v>
      </c>
      <c r="L78">
        <f t="shared" si="12"/>
        <v>-81.24953296916708</v>
      </c>
      <c r="M78">
        <f t="shared" si="13"/>
        <v>4950.781898691546</v>
      </c>
      <c r="N78">
        <f t="shared" si="14"/>
        <v>-29321.50424994178</v>
      </c>
      <c r="O78">
        <f t="shared" si="15"/>
        <v>4950.781898691546</v>
      </c>
      <c r="P78">
        <f t="shared" si="16"/>
        <v>-27949.391812441805</v>
      </c>
    </row>
    <row r="79" spans="2:16" ht="15">
      <c r="B79">
        <f t="shared" si="17"/>
        <v>3.4999999999999956</v>
      </c>
      <c r="C79">
        <f>IF(Eingabe_Ausgabe!$B$13=1,Berechnung!C78,C78+G78*B79)</f>
        <v>41.00026417135857</v>
      </c>
      <c r="D79">
        <f>IF(Eingabe_Ausgabe!$B$13=1,Berechnung!D78+dt*g,D78+H78*B79)</f>
        <v>-266.8590527945489</v>
      </c>
      <c r="E79">
        <f>0.5*roh_luft*Eingabe_Ausgabe!$B$7*(C79*C79+D79*D79)</f>
        <v>5160537.245003492</v>
      </c>
      <c r="F79">
        <f t="shared" si="10"/>
        <v>-1.4183482480472362</v>
      </c>
      <c r="G79">
        <f>IF(Eingabe_Ausgabe!$B$13=1,0,-COS(F79)*E79/m)</f>
        <v>0</v>
      </c>
      <c r="H79">
        <f>IF(Eingabe_Ausgabe!$B$13=1,g,g-SIN(F79)*E79/m)</f>
        <v>-9.81</v>
      </c>
      <c r="I79" s="4">
        <f t="shared" si="19"/>
        <v>0</v>
      </c>
      <c r="J79" s="4">
        <f t="shared" si="18"/>
        <v>0</v>
      </c>
      <c r="K79">
        <f t="shared" si="11"/>
        <v>0</v>
      </c>
      <c r="L79">
        <f t="shared" si="12"/>
        <v>-81.26536849288104</v>
      </c>
      <c r="M79">
        <f t="shared" si="13"/>
        <v>5094.282823291301</v>
      </c>
      <c r="N79">
        <f t="shared" si="14"/>
        <v>-30255.5109347227</v>
      </c>
      <c r="O79">
        <f t="shared" si="15"/>
        <v>5094.282823291301</v>
      </c>
      <c r="P79">
        <f t="shared" si="16"/>
        <v>-28823.312247222726</v>
      </c>
    </row>
    <row r="80" spans="2:16" ht="15">
      <c r="B80">
        <f t="shared" si="17"/>
        <v>3.5499999999999954</v>
      </c>
      <c r="C80">
        <f>IF(Eingabe_Ausgabe!$B$13=1,Berechnung!C79,C79+G79*B80)</f>
        <v>41.00026417135857</v>
      </c>
      <c r="D80">
        <f>IF(Eingabe_Ausgabe!$B$13=1,Berechnung!D79+dt*g,D79+H79*B80)</f>
        <v>-267.3495527945489</v>
      </c>
      <c r="E80">
        <f>0.5*roh_luft*Eingabe_Ausgabe!$B$7*(C80*C80+D80*D80)</f>
        <v>5179087.436799152</v>
      </c>
      <c r="F80">
        <f t="shared" si="10"/>
        <v>-1.4186236392767038</v>
      </c>
      <c r="G80">
        <f>IF(Eingabe_Ausgabe!$B$13=1,0,-COS(F80)*E80/m)</f>
        <v>0</v>
      </c>
      <c r="H80">
        <f>IF(Eingabe_Ausgabe!$B$13=1,g,g-SIN(F80)*E80/m)</f>
        <v>-9.81</v>
      </c>
      <c r="I80" s="4">
        <f t="shared" si="19"/>
        <v>0</v>
      </c>
      <c r="J80" s="4">
        <f t="shared" si="18"/>
        <v>0</v>
      </c>
      <c r="K80">
        <f t="shared" si="11"/>
        <v>0</v>
      </c>
      <c r="L80">
        <f t="shared" si="12"/>
        <v>-81.28114724804445</v>
      </c>
      <c r="M80">
        <f t="shared" si="13"/>
        <v>5239.833761099623</v>
      </c>
      <c r="N80">
        <f t="shared" si="14"/>
        <v>-31204.60184714335</v>
      </c>
      <c r="O80">
        <f t="shared" si="15"/>
        <v>5239.833761099623</v>
      </c>
      <c r="P80">
        <f t="shared" si="16"/>
        <v>-29710.587897143374</v>
      </c>
    </row>
    <row r="81" spans="2:16" ht="15">
      <c r="B81">
        <f t="shared" si="17"/>
        <v>3.599999999999995</v>
      </c>
      <c r="C81">
        <f>IF(Eingabe_Ausgabe!$B$13=1,Berechnung!C80,C80+G80*B81)</f>
        <v>41.00026417135857</v>
      </c>
      <c r="D81">
        <f>IF(Eingabe_Ausgabe!$B$13=1,Berechnung!D80+dt*g,D80+H80*B81)</f>
        <v>-267.8400527945489</v>
      </c>
      <c r="E81">
        <f>0.5*roh_luft*Eingabe_Ausgabe!$B$7*(C81*C81+D81*D81)</f>
        <v>5197671.693448806</v>
      </c>
      <c r="F81">
        <f t="shared" si="10"/>
        <v>-1.4188980449848196</v>
      </c>
      <c r="G81">
        <f>IF(Eingabe_Ausgabe!$B$13=1,0,-COS(F81)*E81/m)</f>
        <v>0</v>
      </c>
      <c r="H81">
        <f>IF(Eingabe_Ausgabe!$B$13=1,g,g-SIN(F81)*E81/m)</f>
        <v>-9.81</v>
      </c>
      <c r="I81" s="4">
        <f t="shared" si="19"/>
        <v>0</v>
      </c>
      <c r="J81" s="4">
        <f t="shared" si="18"/>
        <v>0</v>
      </c>
      <c r="K81">
        <f t="shared" si="11"/>
        <v>0</v>
      </c>
      <c r="L81">
        <f t="shared" si="12"/>
        <v>-81.2968695369938</v>
      </c>
      <c r="M81">
        <f t="shared" si="13"/>
        <v>5387.434712116514</v>
      </c>
      <c r="N81">
        <f t="shared" si="14"/>
        <v>-32168.826037203722</v>
      </c>
      <c r="O81">
        <f t="shared" si="15"/>
        <v>5387.434712116514</v>
      </c>
      <c r="P81">
        <f t="shared" si="16"/>
        <v>-30611.24328720375</v>
      </c>
    </row>
    <row r="82" spans="2:16" ht="15">
      <c r="B82">
        <f t="shared" si="17"/>
        <v>3.649999999999995</v>
      </c>
      <c r="C82">
        <f>IF(Eingabe_Ausgabe!$B$13=1,Berechnung!C81,C81+G81*B82)</f>
        <v>41.00026417135857</v>
      </c>
      <c r="D82">
        <f>IF(Eingabe_Ausgabe!$B$13=1,Berechnung!D81+dt*g,D81+H81*B82)</f>
        <v>-268.3305527945489</v>
      </c>
      <c r="E82">
        <f>0.5*roh_luft*Eingabe_Ausgabe!$B$7*(C82*C82+D82*D82)</f>
        <v>5216290.014952454</v>
      </c>
      <c r="F82">
        <f t="shared" si="10"/>
        <v>-1.4191714704112448</v>
      </c>
      <c r="G82">
        <f>IF(Eingabe_Ausgabe!$B$13=1,0,-COS(F82)*E82/m)</f>
        <v>0</v>
      </c>
      <c r="H82">
        <f>IF(Eingabe_Ausgabe!$B$13=1,g,g-SIN(F82)*E82/m)</f>
        <v>-9.81</v>
      </c>
      <c r="I82" s="4">
        <f t="shared" si="19"/>
        <v>0</v>
      </c>
      <c r="J82" s="4">
        <f t="shared" si="18"/>
        <v>0</v>
      </c>
      <c r="K82">
        <f t="shared" si="11"/>
        <v>0</v>
      </c>
      <c r="L82">
        <f t="shared" si="12"/>
        <v>-81.31253565993951</v>
      </c>
      <c r="M82">
        <f t="shared" si="13"/>
        <v>5537.085676341972</v>
      </c>
      <c r="N82">
        <f t="shared" si="14"/>
        <v>-33148.23255490382</v>
      </c>
      <c r="O82">
        <f t="shared" si="15"/>
        <v>5537.085676341972</v>
      </c>
      <c r="P82">
        <f t="shared" si="16"/>
        <v>-31525.30294240385</v>
      </c>
    </row>
    <row r="83" spans="2:16" ht="15">
      <c r="B83">
        <f t="shared" si="17"/>
        <v>3.699999999999995</v>
      </c>
      <c r="C83">
        <f>IF(Eingabe_Ausgabe!$B$13=1,Berechnung!C82,C82+G82*B83)</f>
        <v>41.00026417135857</v>
      </c>
      <c r="D83">
        <f>IF(Eingabe_Ausgabe!$B$13=1,Berechnung!D82+dt*g,D82+H82*B83)</f>
        <v>-268.8210527945489</v>
      </c>
      <c r="E83">
        <f>0.5*roh_luft*Eingabe_Ausgabe!$B$7*(C83*C83+D83*D83)</f>
        <v>5234942.401310096</v>
      </c>
      <c r="F83">
        <f t="shared" si="10"/>
        <v>-1.4194439207588576</v>
      </c>
      <c r="G83">
        <f>IF(Eingabe_Ausgabe!$B$13=1,0,-COS(F83)*E83/m)</f>
        <v>0</v>
      </c>
      <c r="H83">
        <f>IF(Eingabe_Ausgabe!$B$13=1,g,g-SIN(F83)*E83/m)</f>
        <v>-9.81</v>
      </c>
      <c r="I83" s="4">
        <f t="shared" si="19"/>
        <v>0</v>
      </c>
      <c r="J83" s="4">
        <f t="shared" si="18"/>
        <v>0</v>
      </c>
      <c r="K83">
        <f t="shared" si="11"/>
        <v>0</v>
      </c>
      <c r="L83">
        <f t="shared" si="12"/>
        <v>-81.3281459149846</v>
      </c>
      <c r="M83">
        <f t="shared" si="13"/>
        <v>5688.786653775999</v>
      </c>
      <c r="N83">
        <f t="shared" si="14"/>
        <v>-34142.87045024365</v>
      </c>
      <c r="O83">
        <f t="shared" si="15"/>
        <v>5688.786653775999</v>
      </c>
      <c r="P83">
        <f t="shared" si="16"/>
        <v>-32452.79138774368</v>
      </c>
    </row>
    <row r="84" spans="2:16" ht="15">
      <c r="B84">
        <f t="shared" si="17"/>
        <v>3.7499999999999947</v>
      </c>
      <c r="C84">
        <f>IF(Eingabe_Ausgabe!$B$13=1,Berechnung!C83,C83+G83*B84)</f>
        <v>41.00026417135857</v>
      </c>
      <c r="D84">
        <f>IF(Eingabe_Ausgabe!$B$13=1,Berechnung!D83+dt*g,D83+H83*B84)</f>
        <v>-269.3115527945489</v>
      </c>
      <c r="E84">
        <f>0.5*roh_luft*Eingabe_Ausgabe!$B$7*(C84*C84+D84*D84)</f>
        <v>5253628.85252173</v>
      </c>
      <c r="F84">
        <f t="shared" si="10"/>
        <v>-1.4197154011940727</v>
      </c>
      <c r="G84">
        <f>IF(Eingabe_Ausgabe!$B$13=1,0,-COS(F84)*E84/m)</f>
        <v>0</v>
      </c>
      <c r="H84">
        <f>IF(Eingabe_Ausgabe!$B$13=1,g,g-SIN(F84)*E84/m)</f>
        <v>-9.81</v>
      </c>
      <c r="I84" s="4">
        <f t="shared" si="19"/>
        <v>0</v>
      </c>
      <c r="J84" s="4">
        <f t="shared" si="18"/>
        <v>0</v>
      </c>
      <c r="K84">
        <f t="shared" si="11"/>
        <v>0</v>
      </c>
      <c r="L84">
        <f t="shared" si="12"/>
        <v>-81.3437005981428</v>
      </c>
      <c r="M84">
        <f t="shared" si="13"/>
        <v>5842.537644418594</v>
      </c>
      <c r="N84">
        <f t="shared" si="14"/>
        <v>-35152.78877322321</v>
      </c>
      <c r="O84">
        <f t="shared" si="15"/>
        <v>5842.537644418594</v>
      </c>
      <c r="P84">
        <f t="shared" si="16"/>
        <v>-33393.73314822324</v>
      </c>
    </row>
    <row r="85" spans="2:16" ht="15">
      <c r="B85">
        <f t="shared" si="17"/>
        <v>3.7999999999999945</v>
      </c>
      <c r="C85">
        <f>IF(Eingabe_Ausgabe!$B$13=1,Berechnung!C84,C84+G84*B85)</f>
        <v>41.00026417135857</v>
      </c>
      <c r="D85">
        <f>IF(Eingabe_Ausgabe!$B$13=1,Berechnung!D84+dt*g,D84+H84*B85)</f>
        <v>-269.8020527945489</v>
      </c>
      <c r="E85">
        <f>0.5*roh_luft*Eingabe_Ausgabe!$B$7*(C85*C85+D85*D85)</f>
        <v>5272349.368587358</v>
      </c>
      <c r="F85">
        <f t="shared" si="10"/>
        <v>-1.4199859168471574</v>
      </c>
      <c r="G85">
        <f>IF(Eingabe_Ausgabe!$B$13=1,0,-COS(F85)*E85/m)</f>
        <v>0</v>
      </c>
      <c r="H85">
        <f>IF(Eingabe_Ausgabe!$B$13=1,g,g-SIN(F85)*E85/m)</f>
        <v>-9.81</v>
      </c>
      <c r="I85" s="4">
        <f t="shared" si="19"/>
        <v>0</v>
      </c>
      <c r="J85" s="4">
        <f t="shared" si="18"/>
        <v>0</v>
      </c>
      <c r="K85">
        <f t="shared" si="11"/>
        <v>0</v>
      </c>
      <c r="L85">
        <f t="shared" si="12"/>
        <v>-81.35920000335678</v>
      </c>
      <c r="M85">
        <f t="shared" si="13"/>
        <v>5998.338648269756</v>
      </c>
      <c r="N85">
        <f t="shared" si="14"/>
        <v>-36178.036573842495</v>
      </c>
      <c r="O85">
        <f t="shared" si="15"/>
        <v>5998.338648269756</v>
      </c>
      <c r="P85">
        <f t="shared" si="16"/>
        <v>-34348.15274884252</v>
      </c>
    </row>
    <row r="86" spans="2:16" ht="15">
      <c r="B86">
        <f t="shared" si="17"/>
        <v>3.8499999999999943</v>
      </c>
      <c r="C86">
        <f>IF(Eingabe_Ausgabe!$B$13=1,Berechnung!C85,C85+G85*B86)</f>
        <v>41.00026417135857</v>
      </c>
      <c r="D86">
        <f>IF(Eingabe_Ausgabe!$B$13=1,Berechnung!D85+dt*g,D85+H85*B86)</f>
        <v>-270.2925527945489</v>
      </c>
      <c r="E86">
        <f>0.5*roh_luft*Eingabe_Ausgabe!$B$7*(C86*C86+D86*D86)</f>
        <v>5291103.949506981</v>
      </c>
      <c r="F86">
        <f t="shared" si="10"/>
        <v>-1.4202554728125447</v>
      </c>
      <c r="G86">
        <f>IF(Eingabe_Ausgabe!$B$13=1,0,-COS(F86)*E86/m)</f>
        <v>0</v>
      </c>
      <c r="H86">
        <f>IF(Eingabe_Ausgabe!$B$13=1,g,g-SIN(F86)*E86/m)</f>
        <v>-9.81</v>
      </c>
      <c r="I86" s="4">
        <f t="shared" si="19"/>
        <v>0</v>
      </c>
      <c r="J86" s="4">
        <f t="shared" si="18"/>
        <v>0</v>
      </c>
      <c r="K86">
        <f t="shared" si="11"/>
        <v>0</v>
      </c>
      <c r="L86">
        <f t="shared" si="12"/>
        <v>-81.37464442251604</v>
      </c>
      <c r="M86">
        <f t="shared" si="13"/>
        <v>6156.189665329486</v>
      </c>
      <c r="N86">
        <f t="shared" si="14"/>
        <v>-37218.66290210151</v>
      </c>
      <c r="O86">
        <f t="shared" si="15"/>
        <v>6156.189665329486</v>
      </c>
      <c r="P86">
        <f t="shared" si="16"/>
        <v>-35316.074714601535</v>
      </c>
    </row>
    <row r="87" spans="2:16" ht="15">
      <c r="B87">
        <f t="shared" si="17"/>
        <v>3.899999999999994</v>
      </c>
      <c r="C87">
        <f>IF(Eingabe_Ausgabe!$B$13=1,Berechnung!C86,C86+G86*B87)</f>
        <v>41.00026417135857</v>
      </c>
      <c r="D87">
        <f>IF(Eingabe_Ausgabe!$B$13=1,Berechnung!D86+dt*g,D86+H86*B87)</f>
        <v>-270.7830527945489</v>
      </c>
      <c r="E87">
        <f>0.5*roh_luft*Eingabe_Ausgabe!$B$7*(C87*C87+D87*D87)</f>
        <v>5309892.595280596</v>
      </c>
      <c r="F87">
        <f t="shared" si="10"/>
        <v>-1.4205240741491438</v>
      </c>
      <c r="G87">
        <f>IF(Eingabe_Ausgabe!$B$13=1,0,-COS(F87)*E87/m)</f>
        <v>0</v>
      </c>
      <c r="H87">
        <f>IF(Eingabe_Ausgabe!$B$13=1,g,g-SIN(F87)*E87/m)</f>
        <v>-9.81</v>
      </c>
      <c r="I87" s="4">
        <f t="shared" si="19"/>
        <v>0</v>
      </c>
      <c r="J87" s="4">
        <f t="shared" si="18"/>
        <v>0</v>
      </c>
      <c r="K87">
        <f t="shared" si="11"/>
        <v>0</v>
      </c>
      <c r="L87">
        <f t="shared" si="12"/>
        <v>-81.39003414547474</v>
      </c>
      <c r="M87">
        <f t="shared" si="13"/>
        <v>6316.090695597784</v>
      </c>
      <c r="N87">
        <f t="shared" si="14"/>
        <v>-38274.71680800025</v>
      </c>
      <c r="O87">
        <f t="shared" si="15"/>
        <v>6316.090695597784</v>
      </c>
      <c r="P87">
        <f t="shared" si="16"/>
        <v>-36297.52357050027</v>
      </c>
    </row>
    <row r="88" spans="2:16" ht="15">
      <c r="B88">
        <f t="shared" si="17"/>
        <v>3.949999999999994</v>
      </c>
      <c r="C88">
        <f>IF(Eingabe_Ausgabe!$B$13=1,Berechnung!C87,C87+G87*B88)</f>
        <v>41.00026417135857</v>
      </c>
      <c r="D88">
        <f>IF(Eingabe_Ausgabe!$B$13=1,Berechnung!D87+dt*g,D87+H87*B88)</f>
        <v>-271.2735527945489</v>
      </c>
      <c r="E88">
        <f>0.5*roh_luft*Eingabe_Ausgabe!$B$7*(C88*C88+D88*D88)</f>
        <v>5328715.305908206</v>
      </c>
      <c r="F88">
        <f t="shared" si="10"/>
        <v>-1.4207917258806455</v>
      </c>
      <c r="G88">
        <f>IF(Eingabe_Ausgabe!$B$13=1,0,-COS(F88)*E88/m)</f>
        <v>0</v>
      </c>
      <c r="H88">
        <f>IF(Eingabe_Ausgabe!$B$13=1,g,g-SIN(F88)*E88/m)</f>
        <v>-9.81</v>
      </c>
      <c r="I88" s="4">
        <f t="shared" si="19"/>
        <v>0</v>
      </c>
      <c r="J88" s="4">
        <f t="shared" si="18"/>
        <v>0</v>
      </c>
      <c r="K88">
        <f t="shared" si="11"/>
        <v>0</v>
      </c>
      <c r="L88">
        <f t="shared" si="12"/>
        <v>-81.40536946006917</v>
      </c>
      <c r="M88">
        <f t="shared" si="13"/>
        <v>6478.041739074651</v>
      </c>
      <c r="N88">
        <f t="shared" si="14"/>
        <v>-39346.24734153872</v>
      </c>
      <c r="O88">
        <f t="shared" si="15"/>
        <v>6478.041739074651</v>
      </c>
      <c r="P88">
        <f t="shared" si="16"/>
        <v>-37292.523841538736</v>
      </c>
    </row>
    <row r="89" spans="2:16" ht="15">
      <c r="B89">
        <f t="shared" si="17"/>
        <v>3.999999999999994</v>
      </c>
      <c r="C89">
        <f>IF(Eingabe_Ausgabe!$B$13=1,Berechnung!C88,C88+G88*B89)</f>
        <v>41.00026417135857</v>
      </c>
      <c r="D89">
        <f>IF(Eingabe_Ausgabe!$B$13=1,Berechnung!D88+dt*g,D88+H88*B89)</f>
        <v>-271.7640527945489</v>
      </c>
      <c r="E89">
        <f>0.5*roh_luft*Eingabe_Ausgabe!$B$7*(C89*C89+D89*D89)</f>
        <v>5347572.081389809</v>
      </c>
      <c r="F89">
        <f t="shared" si="10"/>
        <v>-1.4210584329958267</v>
      </c>
      <c r="G89">
        <f>IF(Eingabe_Ausgabe!$B$13=1,0,-COS(F89)*E89/m)</f>
        <v>0</v>
      </c>
      <c r="H89">
        <f>IF(Eingabe_Ausgabe!$B$13=1,g,g-SIN(F89)*E89/m)</f>
        <v>-9.81</v>
      </c>
      <c r="I89" s="4">
        <f t="shared" si="19"/>
        <v>0</v>
      </c>
      <c r="J89" s="4">
        <f t="shared" si="18"/>
        <v>0</v>
      </c>
      <c r="K89">
        <f t="shared" si="11"/>
        <v>0</v>
      </c>
      <c r="L89">
        <f t="shared" si="12"/>
        <v>-81.42065065213515</v>
      </c>
      <c r="M89">
        <f t="shared" si="13"/>
        <v>6642.042795760085</v>
      </c>
      <c r="N89">
        <f t="shared" si="14"/>
        <v>-40433.30355271691</v>
      </c>
      <c r="O89">
        <f t="shared" si="15"/>
        <v>6642.042795760085</v>
      </c>
      <c r="P89">
        <f t="shared" si="16"/>
        <v>-38301.10005271693</v>
      </c>
    </row>
    <row r="90" spans="2:16" ht="15">
      <c r="B90">
        <f t="shared" si="17"/>
        <v>4.049999999999994</v>
      </c>
      <c r="C90">
        <f>IF(Eingabe_Ausgabe!$B$13=1,Berechnung!C89,C89+G89*B90)</f>
        <v>41.00026417135857</v>
      </c>
      <c r="D90">
        <f>IF(Eingabe_Ausgabe!$B$13=1,Berechnung!D89+dt*g,D89+H89*B90)</f>
        <v>-272.2545527945489</v>
      </c>
      <c r="E90">
        <f>0.5*roh_luft*Eingabe_Ausgabe!$B$7*(C90*C90+D90*D90)</f>
        <v>5366462.921725405</v>
      </c>
      <c r="F90">
        <f t="shared" si="10"/>
        <v>-1.4213242004488502</v>
      </c>
      <c r="G90">
        <f>IF(Eingabe_Ausgabe!$B$13=1,0,-COS(F90)*E90/m)</f>
        <v>0</v>
      </c>
      <c r="H90">
        <f>IF(Eingabe_Ausgabe!$B$13=1,g,g-SIN(F90)*E90/m)</f>
        <v>-9.81</v>
      </c>
      <c r="I90" s="4">
        <f t="shared" si="19"/>
        <v>0</v>
      </c>
      <c r="J90" s="4">
        <f t="shared" si="18"/>
        <v>0</v>
      </c>
      <c r="K90">
        <f t="shared" si="11"/>
        <v>0</v>
      </c>
      <c r="L90">
        <f t="shared" si="12"/>
        <v>-81.43587800552534</v>
      </c>
      <c r="M90">
        <f t="shared" si="13"/>
        <v>6808.093865654087</v>
      </c>
      <c r="N90">
        <f t="shared" si="14"/>
        <v>-41535.934491534834</v>
      </c>
      <c r="O90">
        <f t="shared" si="15"/>
        <v>6808.093865654087</v>
      </c>
      <c r="P90">
        <f t="shared" si="16"/>
        <v>-39323.27672903486</v>
      </c>
    </row>
    <row r="91" spans="2:16" ht="15">
      <c r="B91">
        <f t="shared" si="17"/>
        <v>4.099999999999993</v>
      </c>
      <c r="C91">
        <f>IF(Eingabe_Ausgabe!$B$13=1,Berechnung!C90,C90+G90*B91)</f>
        <v>41.00026417135857</v>
      </c>
      <c r="D91">
        <f>IF(Eingabe_Ausgabe!$B$13=1,Berechnung!D90+dt*g,D90+H90*B91)</f>
        <v>-272.7450527945489</v>
      </c>
      <c r="E91">
        <f>0.5*roh_luft*Eingabe_Ausgabe!$B$7*(C91*C91+D91*D91)</f>
        <v>5385387.826914996</v>
      </c>
      <c r="F91">
        <f t="shared" si="10"/>
        <v>-1.421589033159562</v>
      </c>
      <c r="G91">
        <f>IF(Eingabe_Ausgabe!$B$13=1,0,-COS(F91)*E91/m)</f>
        <v>0</v>
      </c>
      <c r="H91">
        <f>IF(Eingabe_Ausgabe!$B$13=1,g,g-SIN(F91)*E91/m)</f>
        <v>-9.81</v>
      </c>
      <c r="I91" s="4">
        <f t="shared" si="19"/>
        <v>0</v>
      </c>
      <c r="J91" s="4">
        <f t="shared" si="18"/>
        <v>0</v>
      </c>
      <c r="K91">
        <f t="shared" si="11"/>
        <v>0</v>
      </c>
      <c r="L91">
        <f t="shared" si="12"/>
        <v>-81.45105180212614</v>
      </c>
      <c r="M91">
        <f t="shared" si="13"/>
        <v>6976.194948756656</v>
      </c>
      <c r="N91">
        <f t="shared" si="14"/>
        <v>-42654.18920799248</v>
      </c>
      <c r="O91">
        <f t="shared" si="15"/>
        <v>6976.194948756656</v>
      </c>
      <c r="P91">
        <f t="shared" si="16"/>
        <v>-40359.0783954925</v>
      </c>
    </row>
    <row r="92" spans="2:16" ht="15">
      <c r="B92">
        <f t="shared" si="17"/>
        <v>4.149999999999993</v>
      </c>
      <c r="C92">
        <f>IF(Eingabe_Ausgabe!$B$13=1,Berechnung!C91,C91+G91*B92)</f>
        <v>41.00026417135857</v>
      </c>
      <c r="D92">
        <f>IF(Eingabe_Ausgabe!$B$13=1,Berechnung!D91+dt*g,D91+H91*B92)</f>
        <v>-273.2355527945489</v>
      </c>
      <c r="E92">
        <f>0.5*roh_luft*Eingabe_Ausgabe!$B$7*(C92*C92+D92*D92)</f>
        <v>5404346.796958581</v>
      </c>
      <c r="F92">
        <f t="shared" si="10"/>
        <v>-1.421852936013786</v>
      </c>
      <c r="G92">
        <f>IF(Eingabe_Ausgabe!$B$13=1,0,-COS(F92)*E92/m)</f>
        <v>0</v>
      </c>
      <c r="H92">
        <f>IF(Eingabe_Ausgabe!$B$13=1,g,g-SIN(F92)*E92/m)</f>
        <v>-9.81</v>
      </c>
      <c r="I92" s="4">
        <f t="shared" si="19"/>
        <v>0</v>
      </c>
      <c r="J92" s="4">
        <f t="shared" si="18"/>
        <v>0</v>
      </c>
      <c r="K92">
        <f t="shared" si="11"/>
        <v>0</v>
      </c>
      <c r="L92">
        <f t="shared" si="12"/>
        <v>-81.46617232187462</v>
      </c>
      <c r="M92">
        <f t="shared" si="13"/>
        <v>7146.346045067794</v>
      </c>
      <c r="N92">
        <f t="shared" si="14"/>
        <v>-43788.11675208986</v>
      </c>
      <c r="O92">
        <f t="shared" si="15"/>
        <v>7146.346045067794</v>
      </c>
      <c r="P92">
        <f t="shared" si="16"/>
        <v>-41408.529577089874</v>
      </c>
    </row>
    <row r="93" spans="2:16" ht="15">
      <c r="B93">
        <f t="shared" si="17"/>
        <v>4.199999999999993</v>
      </c>
      <c r="C93">
        <f>IF(Eingabe_Ausgabe!$B$13=1,Berechnung!C92,C92+G92*B93)</f>
        <v>41.00026417135857</v>
      </c>
      <c r="D93">
        <f>IF(Eingabe_Ausgabe!$B$13=1,Berechnung!D92+dt*g,D92+H92*B93)</f>
        <v>-273.7260527945489</v>
      </c>
      <c r="E93">
        <f>0.5*roh_luft*Eingabe_Ausgabe!$B$7*(C93*C93+D93*D93)</f>
        <v>5423339.831856158</v>
      </c>
      <c r="F93">
        <f t="shared" si="10"/>
        <v>-1.422115913863615</v>
      </c>
      <c r="G93">
        <f>IF(Eingabe_Ausgabe!$B$13=1,0,-COS(F93)*E93/m)</f>
        <v>0</v>
      </c>
      <c r="H93">
        <f>IF(Eingabe_Ausgabe!$B$13=1,g,g-SIN(F93)*E93/m)</f>
        <v>-9.81</v>
      </c>
      <c r="I93" s="4">
        <f t="shared" si="19"/>
        <v>0</v>
      </c>
      <c r="J93" s="4">
        <f t="shared" si="18"/>
        <v>0</v>
      </c>
      <c r="K93">
        <f t="shared" si="11"/>
        <v>0</v>
      </c>
      <c r="L93">
        <f t="shared" si="12"/>
        <v>-81.48123984277525</v>
      </c>
      <c r="M93">
        <f t="shared" si="13"/>
        <v>7318.5471545875</v>
      </c>
      <c r="N93">
        <f t="shared" si="14"/>
        <v>-44937.76617382696</v>
      </c>
      <c r="O93">
        <f t="shared" si="15"/>
        <v>7318.5471545875</v>
      </c>
      <c r="P93">
        <f t="shared" si="16"/>
        <v>-42471.65479882698</v>
      </c>
    </row>
    <row r="94" spans="2:16" ht="15">
      <c r="B94">
        <f t="shared" si="17"/>
        <v>4.249999999999993</v>
      </c>
      <c r="C94">
        <f>IF(Eingabe_Ausgabe!$B$13=1,Berechnung!C93,C93+G93*B94)</f>
        <v>41.00026417135857</v>
      </c>
      <c r="D94">
        <f>IF(Eingabe_Ausgabe!$B$13=1,Berechnung!D93+dt*g,D93+H93*B94)</f>
        <v>-274.2165527945489</v>
      </c>
      <c r="E94">
        <f>0.5*roh_luft*Eingabe_Ausgabe!$B$7*(C94*C94+D94*D94)</f>
        <v>5442366.93160773</v>
      </c>
      <c r="F94">
        <f t="shared" si="10"/>
        <v>-1.4223779715276987</v>
      </c>
      <c r="G94">
        <f>IF(Eingabe_Ausgabe!$B$13=1,0,-COS(F94)*E94/m)</f>
        <v>0</v>
      </c>
      <c r="H94">
        <f>IF(Eingabe_Ausgabe!$B$13=1,g,g-SIN(F94)*E94/m)</f>
        <v>-9.81</v>
      </c>
      <c r="I94" s="4">
        <f t="shared" si="19"/>
        <v>0</v>
      </c>
      <c r="J94" s="4">
        <f t="shared" si="18"/>
        <v>0</v>
      </c>
      <c r="K94">
        <f t="shared" si="11"/>
        <v>0</v>
      </c>
      <c r="L94">
        <f t="shared" si="12"/>
        <v>-81.49625464091632</v>
      </c>
      <c r="M94">
        <f t="shared" si="13"/>
        <v>7492.798277315774</v>
      </c>
      <c r="N94">
        <f t="shared" si="14"/>
        <v>-46103.18652320379</v>
      </c>
      <c r="O94">
        <f t="shared" si="15"/>
        <v>7492.798277315774</v>
      </c>
      <c r="P94">
        <f t="shared" si="16"/>
        <v>-43548.478585703815</v>
      </c>
    </row>
    <row r="95" spans="2:16" ht="15">
      <c r="B95">
        <f t="shared" si="17"/>
        <v>4.299999999999993</v>
      </c>
      <c r="C95">
        <f>IF(Eingabe_Ausgabe!$B$13=1,Berechnung!C94,C94+G94*B95)</f>
        <v>41.00026417135857</v>
      </c>
      <c r="D95">
        <f>IF(Eingabe_Ausgabe!$B$13=1,Berechnung!D94+dt*g,D94+H94*B95)</f>
        <v>-274.7070527945489</v>
      </c>
      <c r="E95">
        <f>0.5*roh_luft*Eingabe_Ausgabe!$B$7*(C95*C95+D95*D95)</f>
        <v>5461428.096213295</v>
      </c>
      <c r="F95">
        <f t="shared" si="10"/>
        <v>-1.42263911379153</v>
      </c>
      <c r="G95">
        <f>IF(Eingabe_Ausgabe!$B$13=1,0,-COS(F95)*E95/m)</f>
        <v>0</v>
      </c>
      <c r="H95">
        <f>IF(Eingabe_Ausgabe!$B$13=1,g,g-SIN(F95)*E95/m)</f>
        <v>-9.81</v>
      </c>
      <c r="I95" s="4">
        <f t="shared" si="19"/>
        <v>0</v>
      </c>
      <c r="J95" s="4">
        <f t="shared" si="18"/>
        <v>0</v>
      </c>
      <c r="K95">
        <f t="shared" si="11"/>
        <v>0</v>
      </c>
      <c r="L95">
        <f t="shared" si="12"/>
        <v>-81.51121699048633</v>
      </c>
      <c r="M95">
        <f t="shared" si="13"/>
        <v>7669.099413252616</v>
      </c>
      <c r="N95">
        <f t="shared" si="14"/>
        <v>-47284.42685022035</v>
      </c>
      <c r="O95">
        <f t="shared" si="15"/>
        <v>7669.099413252616</v>
      </c>
      <c r="P95">
        <f t="shared" si="16"/>
        <v>-44639.025462720376</v>
      </c>
    </row>
    <row r="96" spans="2:16" ht="15">
      <c r="B96">
        <f t="shared" si="17"/>
        <v>4.3499999999999925</v>
      </c>
      <c r="C96">
        <f>IF(Eingabe_Ausgabe!$B$13=1,Berechnung!C95,C95+G95*B96)</f>
        <v>41.00026417135857</v>
      </c>
      <c r="D96">
        <f>IF(Eingabe_Ausgabe!$B$13=1,Berechnung!D95+dt*g,D95+H95*B96)</f>
        <v>-275.19755279454887</v>
      </c>
      <c r="E96">
        <f>0.5*roh_luft*Eingabe_Ausgabe!$B$7*(C96*C96+D96*D96)</f>
        <v>5480523.325672853</v>
      </c>
      <c r="F96">
        <f t="shared" si="10"/>
        <v>-1.4228993454077261</v>
      </c>
      <c r="G96">
        <f>IF(Eingabe_Ausgabe!$B$13=1,0,-COS(F96)*E96/m)</f>
        <v>0</v>
      </c>
      <c r="H96">
        <f>IF(Eingabe_Ausgabe!$B$13=1,g,g-SIN(F96)*E96/m)</f>
        <v>-9.81</v>
      </c>
      <c r="I96" s="4">
        <f t="shared" si="19"/>
        <v>0</v>
      </c>
      <c r="J96" s="4">
        <f t="shared" si="18"/>
        <v>0</v>
      </c>
      <c r="K96">
        <f t="shared" si="11"/>
        <v>0</v>
      </c>
      <c r="L96">
        <f t="shared" si="12"/>
        <v>-81.52612716379024</v>
      </c>
      <c r="M96">
        <f t="shared" si="13"/>
        <v>7847.450562398025</v>
      </c>
      <c r="N96">
        <f t="shared" si="14"/>
        <v>-48481.53620487663</v>
      </c>
      <c r="O96">
        <f t="shared" si="15"/>
        <v>7847.450562398025</v>
      </c>
      <c r="P96">
        <f t="shared" si="16"/>
        <v>-45743.319954876664</v>
      </c>
    </row>
    <row r="97" spans="2:16" ht="15">
      <c r="B97">
        <f t="shared" si="17"/>
        <v>4.399999999999992</v>
      </c>
      <c r="C97">
        <f>IF(Eingabe_Ausgabe!$B$13=1,Berechnung!C96,C96+G96*B97)</f>
        <v>41.00026417135857</v>
      </c>
      <c r="D97">
        <f>IF(Eingabe_Ausgabe!$B$13=1,Berechnung!D96+dt*g,D96+H96*B97)</f>
        <v>-275.68805279454887</v>
      </c>
      <c r="E97">
        <f>0.5*roh_luft*Eingabe_Ausgabe!$B$7*(C97*C97+D97*D97)</f>
        <v>5499652.619986406</v>
      </c>
      <c r="F97">
        <f t="shared" si="10"/>
        <v>-1.4231586710963093</v>
      </c>
      <c r="G97">
        <f>IF(Eingabe_Ausgabe!$B$13=1,0,-COS(F97)*E97/m)</f>
        <v>0</v>
      </c>
      <c r="H97">
        <f>IF(Eingabe_Ausgabe!$B$13=1,g,g-SIN(F97)*E97/m)</f>
        <v>-9.81</v>
      </c>
      <c r="I97" s="4">
        <f t="shared" si="19"/>
        <v>0</v>
      </c>
      <c r="J97" s="4">
        <f t="shared" si="18"/>
        <v>0</v>
      </c>
      <c r="K97">
        <f t="shared" si="11"/>
        <v>0</v>
      </c>
      <c r="L97">
        <f t="shared" si="12"/>
        <v>-81.54098543126538</v>
      </c>
      <c r="M97">
        <f t="shared" si="13"/>
        <v>8027.851724752002</v>
      </c>
      <c r="N97">
        <f t="shared" si="14"/>
        <v>-49694.56363717264</v>
      </c>
      <c r="O97">
        <f t="shared" si="15"/>
        <v>8027.851724752002</v>
      </c>
      <c r="P97">
        <f t="shared" si="16"/>
        <v>-46861.38658717268</v>
      </c>
    </row>
    <row r="98" spans="2:16" ht="15">
      <c r="B98">
        <f t="shared" si="17"/>
        <v>4.449999999999992</v>
      </c>
      <c r="C98">
        <f>IF(Eingabe_Ausgabe!$B$13=1,Berechnung!C97,C97+G97*B98)</f>
        <v>41.00026417135857</v>
      </c>
      <c r="D98">
        <f>IF(Eingabe_Ausgabe!$B$13=1,Berechnung!D97+dt*g,D97+H97*B98)</f>
        <v>-276.17855279454886</v>
      </c>
      <c r="E98">
        <f>0.5*roh_luft*Eingabe_Ausgabe!$B$7*(C98*C98+D98*D98)</f>
        <v>5518815.979153952</v>
      </c>
      <c r="F98">
        <f t="shared" si="10"/>
        <v>-1.4234170955449834</v>
      </c>
      <c r="G98">
        <f>IF(Eingabe_Ausgabe!$B$13=1,0,-COS(F98)*E98/m)</f>
        <v>0</v>
      </c>
      <c r="H98">
        <f>IF(Eingabe_Ausgabe!$B$13=1,g,g-SIN(F98)*E98/m)</f>
        <v>-9.81</v>
      </c>
      <c r="I98" s="4">
        <f t="shared" si="19"/>
        <v>0</v>
      </c>
      <c r="J98" s="4">
        <f t="shared" si="18"/>
        <v>0</v>
      </c>
      <c r="K98">
        <f t="shared" si="11"/>
        <v>0</v>
      </c>
      <c r="L98">
        <f t="shared" si="12"/>
        <v>-81.5557920614974</v>
      </c>
      <c r="M98">
        <f t="shared" si="13"/>
        <v>8210.302900314548</v>
      </c>
      <c r="N98">
        <f t="shared" si="14"/>
        <v>-50923.55819710838</v>
      </c>
      <c r="O98">
        <f t="shared" si="15"/>
        <v>8210.302900314548</v>
      </c>
      <c r="P98">
        <f t="shared" si="16"/>
        <v>-47993.24988460842</v>
      </c>
    </row>
    <row r="99" spans="2:16" ht="15">
      <c r="B99">
        <f t="shared" si="17"/>
        <v>4.499999999999992</v>
      </c>
      <c r="C99">
        <f>IF(Eingabe_Ausgabe!$B$13=1,Berechnung!C98,C98+G98*B99)</f>
        <v>41.00026417135857</v>
      </c>
      <c r="D99">
        <f>IF(Eingabe_Ausgabe!$B$13=1,Berechnung!D98+dt*g,D98+H98*B99)</f>
        <v>-276.66905279454886</v>
      </c>
      <c r="E99">
        <f>0.5*roh_luft*Eingabe_Ausgabe!$B$7*(C99*C99+D99*D99)</f>
        <v>5538013.403175492</v>
      </c>
      <c r="F99">
        <f t="shared" si="10"/>
        <v>-1.4236746234094075</v>
      </c>
      <c r="G99">
        <f>IF(Eingabe_Ausgabe!$B$13=1,0,-COS(F99)*E99/m)</f>
        <v>0</v>
      </c>
      <c r="H99">
        <f>IF(Eingabe_Ausgabe!$B$13=1,g,g-SIN(F99)*E99/m)</f>
        <v>-9.81</v>
      </c>
      <c r="I99" s="4">
        <f t="shared" si="19"/>
        <v>0</v>
      </c>
      <c r="J99" s="4">
        <f t="shared" si="18"/>
        <v>0</v>
      </c>
      <c r="K99">
        <f t="shared" si="11"/>
        <v>0</v>
      </c>
      <c r="L99">
        <f t="shared" si="12"/>
        <v>-81.57054732123592</v>
      </c>
      <c r="M99">
        <f t="shared" si="13"/>
        <v>8394.804089085661</v>
      </c>
      <c r="N99">
        <f t="shared" si="14"/>
        <v>-52168.56893468385</v>
      </c>
      <c r="O99">
        <f t="shared" si="15"/>
        <v>8394.804089085661</v>
      </c>
      <c r="P99">
        <f t="shared" si="16"/>
        <v>-49138.93437218389</v>
      </c>
    </row>
    <row r="100" spans="2:16" ht="15">
      <c r="B100">
        <f t="shared" si="17"/>
        <v>4.549999999999992</v>
      </c>
      <c r="C100">
        <f>IF(Eingabe_Ausgabe!$B$13=1,Berechnung!C99,C99+G99*B100)</f>
        <v>41.00026417135857</v>
      </c>
      <c r="D100">
        <f>IF(Eingabe_Ausgabe!$B$13=1,Berechnung!D99+dt*g,D99+H99*B100)</f>
        <v>-277.15955279454886</v>
      </c>
      <c r="E100">
        <f>0.5*roh_luft*Eingabe_Ausgabe!$B$7*(C100*C100+D100*D100)</f>
        <v>5557244.892051025</v>
      </c>
      <c r="F100">
        <f t="shared" si="10"/>
        <v>-1.4239312593134676</v>
      </c>
      <c r="G100">
        <f>IF(Eingabe_Ausgabe!$B$13=1,0,-COS(F100)*E100/m)</f>
        <v>0</v>
      </c>
      <c r="H100">
        <f>IF(Eingabe_Ausgabe!$B$13=1,g,g-SIN(F100)*E100/m)</f>
        <v>-9.81</v>
      </c>
      <c r="I100" s="4">
        <f t="shared" si="19"/>
        <v>0</v>
      </c>
      <c r="J100" s="4">
        <f t="shared" si="18"/>
        <v>0</v>
      </c>
      <c r="K100">
        <f t="shared" si="11"/>
        <v>0</v>
      </c>
      <c r="L100">
        <f t="shared" si="12"/>
        <v>-81.58525147541009</v>
      </c>
      <c r="M100">
        <f t="shared" si="13"/>
        <v>8581.355291065342</v>
      </c>
      <c r="N100">
        <f t="shared" si="14"/>
        <v>-53429.644899899045</v>
      </c>
      <c r="O100">
        <f t="shared" si="15"/>
        <v>8581.355291065342</v>
      </c>
      <c r="P100">
        <f t="shared" si="16"/>
        <v>-50298.46457489908</v>
      </c>
    </row>
    <row r="101" spans="2:16" ht="15">
      <c r="B101">
        <f t="shared" si="17"/>
        <v>4.599999999999992</v>
      </c>
      <c r="C101">
        <f>IF(Eingabe_Ausgabe!$B$13=1,Berechnung!C100,C100+G100*B101)</f>
        <v>41.00026417135857</v>
      </c>
      <c r="D101">
        <f>IF(Eingabe_Ausgabe!$B$13=1,Berechnung!D100+dt*g,D100+H100*B101)</f>
        <v>-277.65005279454886</v>
      </c>
      <c r="E101">
        <f>0.5*roh_luft*Eingabe_Ausgabe!$B$7*(C101*C101+D101*D101)</f>
        <v>5576510.445780552</v>
      </c>
      <c r="F101">
        <f t="shared" si="10"/>
        <v>-1.424187007849545</v>
      </c>
      <c r="G101">
        <f>IF(Eingabe_Ausgabe!$B$13=1,0,-COS(F101)*E101/m)</f>
        <v>0</v>
      </c>
      <c r="H101">
        <f>IF(Eingabe_Ausgabe!$B$13=1,g,g-SIN(F101)*E101/m)</f>
        <v>-9.81</v>
      </c>
      <c r="I101" s="4">
        <f t="shared" si="19"/>
        <v>0</v>
      </c>
      <c r="J101" s="4">
        <f t="shared" si="18"/>
        <v>0</v>
      </c>
      <c r="K101">
        <f t="shared" si="11"/>
        <v>0</v>
      </c>
      <c r="L101">
        <f t="shared" si="12"/>
        <v>-81.59990478714398</v>
      </c>
      <c r="M101">
        <f t="shared" si="13"/>
        <v>8769.956506253591</v>
      </c>
      <c r="N101">
        <f t="shared" si="14"/>
        <v>-54706.83514275397</v>
      </c>
      <c r="O101">
        <f t="shared" si="15"/>
        <v>8769.956506253591</v>
      </c>
      <c r="P101">
        <f t="shared" si="16"/>
        <v>-51471.865017754004</v>
      </c>
    </row>
    <row r="102" spans="2:16" ht="15">
      <c r="B102">
        <f t="shared" si="17"/>
        <v>4.6499999999999915</v>
      </c>
      <c r="C102">
        <f>IF(Eingabe_Ausgabe!$B$13=1,Berechnung!C101,C101+G101*B102)</f>
        <v>41.00026417135857</v>
      </c>
      <c r="D102">
        <f>IF(Eingabe_Ausgabe!$B$13=1,Berechnung!D101+dt*g,D101+H101*B102)</f>
        <v>-278.14055279454885</v>
      </c>
      <c r="E102">
        <f>0.5*roh_luft*Eingabe_Ausgabe!$B$7*(C102*C102+D102*D102)</f>
        <v>5595810.064364073</v>
      </c>
      <c r="F102">
        <f t="shared" si="10"/>
        <v>-1.4244418735787818</v>
      </c>
      <c r="G102">
        <f>IF(Eingabe_Ausgabe!$B$13=1,0,-COS(F102)*E102/m)</f>
        <v>0</v>
      </c>
      <c r="H102">
        <f>IF(Eingabe_Ausgabe!$B$13=1,g,g-SIN(F102)*E102/m)</f>
        <v>-9.81</v>
      </c>
      <c r="I102" s="4">
        <f t="shared" si="19"/>
        <v>0</v>
      </c>
      <c r="J102" s="4">
        <f t="shared" si="18"/>
        <v>0</v>
      </c>
      <c r="K102">
        <f t="shared" si="11"/>
        <v>0</v>
      </c>
      <c r="L102">
        <f t="shared" si="12"/>
        <v>-81.61450751777177</v>
      </c>
      <c r="M102">
        <f t="shared" si="13"/>
        <v>8960.607734650408</v>
      </c>
      <c r="N102">
        <f t="shared" si="14"/>
        <v>-56000.188713248615</v>
      </c>
      <c r="O102">
        <f t="shared" si="15"/>
        <v>8960.607734650408</v>
      </c>
      <c r="P102">
        <f t="shared" si="16"/>
        <v>-52659.16022574865</v>
      </c>
    </row>
    <row r="103" spans="2:16" ht="15">
      <c r="B103">
        <f t="shared" si="17"/>
        <v>4.699999999999991</v>
      </c>
      <c r="C103">
        <f>IF(Eingabe_Ausgabe!$B$13=1,Berechnung!C102,C102+G102*B103)</f>
        <v>41.00026417135857</v>
      </c>
      <c r="D103">
        <f>IF(Eingabe_Ausgabe!$B$13=1,Berechnung!D102+dt*g,D102+H102*B103)</f>
        <v>-278.63105279454885</v>
      </c>
      <c r="E103">
        <f>0.5*roh_luft*Eingabe_Ausgabe!$B$7*(C103*C103+D103*D103)</f>
        <v>5615143.747801587</v>
      </c>
      <c r="F103">
        <f t="shared" si="10"/>
        <v>-1.4246958610313447</v>
      </c>
      <c r="G103">
        <f>IF(Eingabe_Ausgabe!$B$13=1,0,-COS(F103)*E103/m)</f>
        <v>0</v>
      </c>
      <c r="H103">
        <f>IF(Eingabe_Ausgabe!$B$13=1,g,g-SIN(F103)*E103/m)</f>
        <v>-9.81</v>
      </c>
      <c r="I103" s="4">
        <f t="shared" si="19"/>
        <v>0</v>
      </c>
      <c r="J103" s="4">
        <f t="shared" si="18"/>
        <v>0</v>
      </c>
      <c r="K103">
        <f t="shared" si="11"/>
        <v>0</v>
      </c>
      <c r="L103">
        <f t="shared" si="12"/>
        <v>-81.6290599268529</v>
      </c>
      <c r="M103">
        <f t="shared" si="13"/>
        <v>9153.308976255794</v>
      </c>
      <c r="N103">
        <f t="shared" si="14"/>
        <v>-57309.75466138299</v>
      </c>
      <c r="O103">
        <f t="shared" si="15"/>
        <v>9153.308976255794</v>
      </c>
      <c r="P103">
        <f t="shared" si="16"/>
        <v>-53860.37472388303</v>
      </c>
    </row>
    <row r="104" spans="2:16" ht="15">
      <c r="B104">
        <f t="shared" si="17"/>
        <v>4.749999999999991</v>
      </c>
      <c r="C104">
        <f>IF(Eingabe_Ausgabe!$B$13=1,Berechnung!C103,C103+G103*B104)</f>
        <v>41.00026417135857</v>
      </c>
      <c r="D104">
        <f>IF(Eingabe_Ausgabe!$B$13=1,Berechnung!D103+dt*g,D103+H103*B104)</f>
        <v>-279.12155279454885</v>
      </c>
      <c r="E104">
        <f>0.5*roh_luft*Eingabe_Ausgabe!$B$7*(C104*C104+D104*D104)</f>
        <v>5634511.496093094</v>
      </c>
      <c r="F104">
        <f t="shared" si="10"/>
        <v>-1.4249489747066846</v>
      </c>
      <c r="G104">
        <f>IF(Eingabe_Ausgabe!$B$13=1,0,-COS(F104)*E104/m)</f>
        <v>0</v>
      </c>
      <c r="H104">
        <f>IF(Eingabe_Ausgabe!$B$13=1,g,g-SIN(F104)*E104/m)</f>
        <v>-9.81</v>
      </c>
      <c r="I104" s="4">
        <f t="shared" si="19"/>
        <v>0</v>
      </c>
      <c r="J104" s="4">
        <f t="shared" si="18"/>
        <v>0</v>
      </c>
      <c r="K104">
        <f t="shared" si="11"/>
        <v>0</v>
      </c>
      <c r="L104">
        <f t="shared" si="12"/>
        <v>-81.64356227218691</v>
      </c>
      <c r="M104">
        <f t="shared" si="13"/>
        <v>9348.060231069747</v>
      </c>
      <c r="N104">
        <f t="shared" si="14"/>
        <v>-58635.582037157095</v>
      </c>
      <c r="O104">
        <f t="shared" si="15"/>
        <v>9348.060231069747</v>
      </c>
      <c r="P104">
        <f t="shared" si="16"/>
        <v>-55075.53303715714</v>
      </c>
    </row>
    <row r="105" spans="2:16" ht="15">
      <c r="B105">
        <f t="shared" si="17"/>
        <v>4.799999999999991</v>
      </c>
      <c r="C105">
        <f>IF(Eingabe_Ausgabe!$B$13=1,Berechnung!C104,C104+G104*B105)</f>
        <v>41.00026417135857</v>
      </c>
      <c r="D105">
        <f>IF(Eingabe_Ausgabe!$B$13=1,Berechnung!D104+dt*g,D104+H104*B105)</f>
        <v>-279.61205279454884</v>
      </c>
      <c r="E105">
        <f>0.5*roh_luft*Eingabe_Ausgabe!$B$7*(C105*C105+D105*D105)</f>
        <v>5653913.309238596</v>
      </c>
      <c r="F105">
        <f t="shared" si="10"/>
        <v>-1.4252012190737955</v>
      </c>
      <c r="G105">
        <f>IF(Eingabe_Ausgabe!$B$13=1,0,-COS(F105)*E105/m)</f>
        <v>0</v>
      </c>
      <c r="H105">
        <f>IF(Eingabe_Ausgabe!$B$13=1,g,g-SIN(F105)*E105/m)</f>
        <v>-9.81</v>
      </c>
      <c r="I105" s="4">
        <f t="shared" si="19"/>
        <v>0</v>
      </c>
      <c r="J105" s="4">
        <f t="shared" si="18"/>
        <v>0</v>
      </c>
      <c r="K105">
        <f t="shared" si="11"/>
        <v>0</v>
      </c>
      <c r="L105">
        <f t="shared" si="12"/>
        <v>-81.65801480982832</v>
      </c>
      <c r="M105">
        <f t="shared" si="13"/>
        <v>9544.861499092267</v>
      </c>
      <c r="N105">
        <f t="shared" si="14"/>
        <v>-59977.71989057093</v>
      </c>
      <c r="O105">
        <f t="shared" si="15"/>
        <v>9544.861499092267</v>
      </c>
      <c r="P105">
        <f t="shared" si="16"/>
        <v>-56304.659690570974</v>
      </c>
    </row>
    <row r="106" spans="2:16" ht="15">
      <c r="B106">
        <f t="shared" si="17"/>
        <v>4.849999999999991</v>
      </c>
      <c r="C106">
        <f>IF(Eingabe_Ausgabe!$B$13=1,Berechnung!C105,C105+G105*B106)</f>
        <v>41.00026417135857</v>
      </c>
      <c r="D106">
        <f>IF(Eingabe_Ausgabe!$B$13=1,Berechnung!D105+dt*g,D105+H105*B106)</f>
        <v>-280.10255279454884</v>
      </c>
      <c r="E106">
        <f>0.5*roh_luft*Eingabe_Ausgabe!$B$7*(C106*C106+D106*D106)</f>
        <v>5673349.187238092</v>
      </c>
      <c r="F106">
        <f t="shared" si="10"/>
        <v>-1.425452598571469</v>
      </c>
      <c r="G106">
        <f>IF(Eingabe_Ausgabe!$B$13=1,0,-COS(F106)*E106/m)</f>
        <v>0</v>
      </c>
      <c r="H106">
        <f>IF(Eingabe_Ausgabe!$B$13=1,g,g-SIN(F106)*E106/m)</f>
        <v>-9.81</v>
      </c>
      <c r="I106" s="4">
        <f t="shared" si="19"/>
        <v>0</v>
      </c>
      <c r="J106" s="4">
        <f t="shared" si="18"/>
        <v>0</v>
      </c>
      <c r="K106">
        <f t="shared" si="11"/>
        <v>0</v>
      </c>
      <c r="L106">
        <f t="shared" si="12"/>
        <v>-81.67241779410114</v>
      </c>
      <c r="M106">
        <f t="shared" si="13"/>
        <v>9743.712780323356</v>
      </c>
      <c r="N106">
        <f t="shared" si="14"/>
        <v>-61336.21727162449</v>
      </c>
      <c r="O106">
        <f t="shared" si="15"/>
        <v>9743.712780323356</v>
      </c>
      <c r="P106">
        <f t="shared" si="16"/>
        <v>-57547.779209124536</v>
      </c>
    </row>
    <row r="107" spans="2:16" ht="15">
      <c r="B107">
        <f t="shared" si="17"/>
        <v>4.899999999999991</v>
      </c>
      <c r="C107">
        <f>IF(Eingabe_Ausgabe!$B$13=1,Berechnung!C106,C106+G106*B107)</f>
        <v>41.00026417135857</v>
      </c>
      <c r="D107">
        <f>IF(Eingabe_Ausgabe!$B$13=1,Berechnung!D106+dt*g,D106+H106*B107)</f>
        <v>-280.59305279454884</v>
      </c>
      <c r="E107">
        <f>0.5*roh_luft*Eingabe_Ausgabe!$B$7*(C107*C107+D107*D107)</f>
        <v>5692819.13009158</v>
      </c>
      <c r="F107">
        <f t="shared" si="10"/>
        <v>-1.4257031176085482</v>
      </c>
      <c r="G107">
        <f>IF(Eingabe_Ausgabe!$B$13=1,0,-COS(F107)*E107/m)</f>
        <v>0</v>
      </c>
      <c r="H107">
        <f>IF(Eingabe_Ausgabe!$B$13=1,g,g-SIN(F107)*E107/m)</f>
        <v>-9.81</v>
      </c>
      <c r="I107" s="4">
        <f t="shared" si="19"/>
        <v>0</v>
      </c>
      <c r="J107" s="4">
        <f t="shared" si="18"/>
        <v>0</v>
      </c>
      <c r="K107">
        <f t="shared" si="11"/>
        <v>0</v>
      </c>
      <c r="L107">
        <f t="shared" si="12"/>
        <v>-81.68677147761345</v>
      </c>
      <c r="M107">
        <f t="shared" si="13"/>
        <v>9944.614074763012</v>
      </c>
      <c r="N107">
        <f t="shared" si="14"/>
        <v>-62711.123230317775</v>
      </c>
      <c r="O107">
        <f t="shared" si="15"/>
        <v>9944.614074763012</v>
      </c>
      <c r="P107">
        <f t="shared" si="16"/>
        <v>-58804.916117817826</v>
      </c>
    </row>
    <row r="108" spans="2:16" ht="15">
      <c r="B108">
        <f t="shared" si="17"/>
        <v>4.94999999999999</v>
      </c>
      <c r="C108">
        <f>IF(Eingabe_Ausgabe!$B$13=1,Berechnung!C107,C107+G107*B108)</f>
        <v>41.00026417135857</v>
      </c>
      <c r="D108">
        <f>IF(Eingabe_Ausgabe!$B$13=1,Berechnung!D107+dt*g,D107+H107*B108)</f>
        <v>-281.08355279454884</v>
      </c>
      <c r="E108">
        <f>0.5*roh_luft*Eingabe_Ausgabe!$B$7*(C108*C108+D108*D108)</f>
        <v>5712323.137799063</v>
      </c>
      <c r="F108">
        <f t="shared" si="10"/>
        <v>-1.4259527805641763</v>
      </c>
      <c r="G108">
        <f>IF(Eingabe_Ausgabe!$B$13=1,0,-COS(F108)*E108/m)</f>
        <v>0</v>
      </c>
      <c r="H108">
        <f>IF(Eingabe_Ausgabe!$B$13=1,g,g-SIN(F108)*E108/m)</f>
        <v>-9.81</v>
      </c>
      <c r="I108" s="4">
        <f t="shared" si="19"/>
        <v>0</v>
      </c>
      <c r="J108" s="4">
        <f t="shared" si="18"/>
        <v>0</v>
      </c>
      <c r="K108">
        <f t="shared" si="11"/>
        <v>0</v>
      </c>
      <c r="L108">
        <f t="shared" si="12"/>
        <v>-81.7010761112717</v>
      </c>
      <c r="M108">
        <f t="shared" si="13"/>
        <v>10147.565382411238</v>
      </c>
      <c r="N108">
        <f t="shared" si="14"/>
        <v>-64102.48681665079</v>
      </c>
      <c r="O108">
        <f t="shared" si="15"/>
        <v>10147.565382411238</v>
      </c>
      <c r="P108">
        <f t="shared" si="16"/>
        <v>-60076.094941650845</v>
      </c>
    </row>
    <row r="109" spans="2:16" ht="15">
      <c r="B109">
        <f t="shared" si="17"/>
        <v>4.99999999999999</v>
      </c>
      <c r="C109">
        <f>IF(Eingabe_Ausgabe!$B$13=1,Berechnung!C108,C108+G108*B109)</f>
        <v>41.00026417135857</v>
      </c>
      <c r="D109">
        <f>IF(Eingabe_Ausgabe!$B$13=1,Berechnung!D108+dt*g,D108+H108*B109)</f>
        <v>-281.57405279454883</v>
      </c>
      <c r="E109">
        <f>0.5*roh_luft*Eingabe_Ausgabe!$B$7*(C109*C109+D109*D109)</f>
        <v>5731861.210360538</v>
      </c>
      <c r="F109">
        <f t="shared" si="10"/>
        <v>-1.4262015917880462</v>
      </c>
      <c r="G109">
        <f>IF(Eingabe_Ausgabe!$B$13=1,0,-COS(F109)*E109/m)</f>
        <v>0</v>
      </c>
      <c r="H109">
        <f>IF(Eingabe_Ausgabe!$B$13=1,g,g-SIN(F109)*E109/m)</f>
        <v>-9.81</v>
      </c>
      <c r="I109" s="4">
        <f t="shared" si="19"/>
        <v>0</v>
      </c>
      <c r="J109" s="4">
        <f t="shared" si="18"/>
        <v>0</v>
      </c>
      <c r="K109">
        <f t="shared" si="11"/>
        <v>0</v>
      </c>
      <c r="L109">
        <f t="shared" si="12"/>
        <v>-81.71533194429493</v>
      </c>
      <c r="M109">
        <f t="shared" si="13"/>
        <v>10352.56670326803</v>
      </c>
      <c r="N109">
        <f t="shared" si="14"/>
        <v>-65510.35708062353</v>
      </c>
      <c r="O109">
        <f t="shared" si="15"/>
        <v>10352.56670326803</v>
      </c>
      <c r="P109">
        <f t="shared" si="16"/>
        <v>-61361.34020562359</v>
      </c>
    </row>
    <row r="110" spans="2:16" ht="15">
      <c r="B110">
        <f t="shared" si="17"/>
        <v>5.04999999999999</v>
      </c>
      <c r="C110">
        <f>IF(Eingabe_Ausgabe!$B$13=1,Berechnung!C109,C109+G109*B110)</f>
        <v>41.00026417135857</v>
      </c>
      <c r="D110">
        <f>IF(Eingabe_Ausgabe!$B$13=1,Berechnung!D109+dt*g,D109+H109*B110)</f>
        <v>-282.06455279454883</v>
      </c>
      <c r="E110">
        <f>0.5*roh_luft*Eingabe_Ausgabe!$B$7*(C110*C110+D110*D110)</f>
        <v>5751433.347776009</v>
      </c>
      <c r="F110">
        <f t="shared" si="10"/>
        <v>-1.4264495556006442</v>
      </c>
      <c r="G110">
        <f>IF(Eingabe_Ausgabe!$B$13=1,0,-COS(F110)*E110/m)</f>
        <v>0</v>
      </c>
      <c r="H110">
        <f>IF(Eingabe_Ausgabe!$B$13=1,g,g-SIN(F110)*E110/m)</f>
        <v>-9.81</v>
      </c>
      <c r="I110" s="4">
        <f t="shared" si="19"/>
        <v>0</v>
      </c>
      <c r="J110" s="4">
        <f t="shared" si="18"/>
        <v>0</v>
      </c>
      <c r="K110">
        <f t="shared" si="11"/>
        <v>0</v>
      </c>
      <c r="L110">
        <f t="shared" si="12"/>
        <v>-81.72953922422877</v>
      </c>
      <c r="M110">
        <f t="shared" si="13"/>
        <v>10559.61803733339</v>
      </c>
      <c r="N110">
        <f t="shared" si="14"/>
        <v>-66934.783072236</v>
      </c>
      <c r="O110">
        <f t="shared" si="15"/>
        <v>10559.61803733339</v>
      </c>
      <c r="P110">
        <f t="shared" si="16"/>
        <v>-62660.67643473606</v>
      </c>
    </row>
    <row r="111" spans="2:16" ht="15">
      <c r="B111">
        <f t="shared" si="17"/>
        <v>5.09999999999999</v>
      </c>
      <c r="C111">
        <f>IF(Eingabe_Ausgabe!$B$13=1,Berechnung!C110,C110+G110*B111)</f>
        <v>41.00026417135857</v>
      </c>
      <c r="D111">
        <f>IF(Eingabe_Ausgabe!$B$13=1,Berechnung!D110+dt*g,D110+H110*B111)</f>
        <v>-282.5550527945488</v>
      </c>
      <c r="E111">
        <f>0.5*roh_luft*Eingabe_Ausgabe!$B$7*(C111*C111+D111*D111)</f>
        <v>5771039.550045472</v>
      </c>
      <c r="F111">
        <f t="shared" si="10"/>
        <v>-1.4266966762934945</v>
      </c>
      <c r="G111">
        <f>IF(Eingabe_Ausgabe!$B$13=1,0,-COS(F111)*E111/m)</f>
        <v>0</v>
      </c>
      <c r="H111">
        <f>IF(Eingabe_Ausgabe!$B$13=1,g,g-SIN(F111)*E111/m)</f>
        <v>-9.81</v>
      </c>
      <c r="I111" s="4">
        <f t="shared" si="19"/>
        <v>0</v>
      </c>
      <c r="J111" s="4">
        <f t="shared" si="18"/>
        <v>0</v>
      </c>
      <c r="K111">
        <f t="shared" si="11"/>
        <v>0</v>
      </c>
      <c r="L111">
        <f t="shared" si="12"/>
        <v>-81.74369819695944</v>
      </c>
      <c r="M111">
        <f t="shared" si="13"/>
        <v>10768.719384607319</v>
      </c>
      <c r="N111">
        <f t="shared" si="14"/>
        <v>-68375.81384148818</v>
      </c>
      <c r="O111">
        <f t="shared" si="15"/>
        <v>10768.719384607319</v>
      </c>
      <c r="P111">
        <f t="shared" si="16"/>
        <v>-63974.128153988255</v>
      </c>
    </row>
    <row r="112" spans="2:16" ht="15">
      <c r="B112">
        <f t="shared" si="17"/>
        <v>5.14999999999999</v>
      </c>
      <c r="C112">
        <f>IF(Eingabe_Ausgabe!$B$13=1,Berechnung!C111,C111+G111*B112)</f>
        <v>41.00026417135857</v>
      </c>
      <c r="D112">
        <f>IF(Eingabe_Ausgabe!$B$13=1,Berechnung!D111+dt*g,D111+H111*B112)</f>
        <v>-283.0455527945488</v>
      </c>
      <c r="E112">
        <f>0.5*roh_luft*Eingabe_Ausgabe!$B$7*(C112*C112+D112*D112)</f>
        <v>5790679.817168929</v>
      </c>
      <c r="F112">
        <f t="shared" si="10"/>
        <v>-1.4269429581293986</v>
      </c>
      <c r="G112">
        <f>IF(Eingabe_Ausgabe!$B$13=1,0,-COS(F112)*E112/m)</f>
        <v>0</v>
      </c>
      <c r="H112">
        <f>IF(Eingabe_Ausgabe!$B$13=1,g,g-SIN(F112)*E112/m)</f>
        <v>-9.81</v>
      </c>
      <c r="I112" s="4">
        <f t="shared" si="19"/>
        <v>0</v>
      </c>
      <c r="J112" s="4">
        <f t="shared" si="18"/>
        <v>0</v>
      </c>
      <c r="K112">
        <f t="shared" si="11"/>
        <v>0</v>
      </c>
      <c r="L112">
        <f t="shared" si="12"/>
        <v>-81.75780910672749</v>
      </c>
      <c r="M112">
        <f t="shared" si="13"/>
        <v>10979.870745089815</v>
      </c>
      <c r="N112">
        <f t="shared" si="14"/>
        <v>-69833.4984383801</v>
      </c>
      <c r="O112">
        <f t="shared" si="15"/>
        <v>10979.870745089815</v>
      </c>
      <c r="P112">
        <f t="shared" si="16"/>
        <v>-65301.71988838018</v>
      </c>
    </row>
    <row r="113" spans="2:16" ht="15">
      <c r="B113">
        <f t="shared" si="17"/>
        <v>5.1999999999999895</v>
      </c>
      <c r="C113">
        <f>IF(Eingabe_Ausgabe!$B$13=1,Berechnung!C112,C112+G112*B113)</f>
        <v>41.00026417135857</v>
      </c>
      <c r="D113">
        <f>IF(Eingabe_Ausgabe!$B$13=1,Berechnung!D112+dt*g,D112+H112*B113)</f>
        <v>-283.5360527945488</v>
      </c>
      <c r="E113">
        <f>0.5*roh_luft*Eingabe_Ausgabe!$B$7*(C113*C113+D113*D113)</f>
        <v>5810354.14914638</v>
      </c>
      <c r="F113">
        <f t="shared" si="10"/>
        <v>-1.4271884053426733</v>
      </c>
      <c r="G113">
        <f>IF(Eingabe_Ausgabe!$B$13=1,0,-COS(F113)*E113/m)</f>
        <v>0</v>
      </c>
      <c r="H113">
        <f>IF(Eingabe_Ausgabe!$B$13=1,g,g-SIN(F113)*E113/m)</f>
        <v>-9.81</v>
      </c>
      <c r="I113" s="4">
        <f t="shared" si="19"/>
        <v>0</v>
      </c>
      <c r="J113" s="4">
        <f t="shared" si="18"/>
        <v>0</v>
      </c>
      <c r="K113">
        <f t="shared" si="11"/>
        <v>0</v>
      </c>
      <c r="L113">
        <f t="shared" si="12"/>
        <v>-81.77187219614137</v>
      </c>
      <c r="M113">
        <f t="shared" si="13"/>
        <v>11193.07211878088</v>
      </c>
      <c r="N113">
        <f t="shared" si="14"/>
        <v>-71307.88591291176</v>
      </c>
      <c r="O113">
        <f t="shared" si="15"/>
        <v>11193.07211878088</v>
      </c>
      <c r="P113">
        <f t="shared" si="16"/>
        <v>-66643.47616291184</v>
      </c>
    </row>
    <row r="114" spans="2:16" ht="15">
      <c r="B114">
        <f t="shared" si="17"/>
        <v>5.249999999999989</v>
      </c>
      <c r="C114">
        <f>IF(Eingabe_Ausgabe!$B$13=1,Berechnung!C113,C113+G113*B114)</f>
        <v>41.00026417135857</v>
      </c>
      <c r="D114">
        <f>IF(Eingabe_Ausgabe!$B$13=1,Berechnung!D113+dt*g,D113+H113*B114)</f>
        <v>-284.0265527945488</v>
      </c>
      <c r="E114">
        <f>0.5*roh_luft*Eingabe_Ausgabe!$B$7*(C114*C114+D114*D114)</f>
        <v>5830062.545977824</v>
      </c>
      <c r="F114">
        <f t="shared" si="10"/>
        <v>-1.4274330221393876</v>
      </c>
      <c r="G114">
        <f>IF(Eingabe_Ausgabe!$B$13=1,0,-COS(F114)*E114/m)</f>
        <v>0</v>
      </c>
      <c r="H114">
        <f>IF(Eingabe_Ausgabe!$B$13=1,g,g-SIN(F114)*E114/m)</f>
        <v>-9.81</v>
      </c>
      <c r="I114" s="4">
        <f t="shared" si="19"/>
        <v>0</v>
      </c>
      <c r="J114" s="4">
        <f t="shared" si="18"/>
        <v>0</v>
      </c>
      <c r="K114">
        <f t="shared" si="11"/>
        <v>0</v>
      </c>
      <c r="L114">
        <f t="shared" si="12"/>
        <v>-81.7858877061911</v>
      </c>
      <c r="M114">
        <f t="shared" si="13"/>
        <v>11408.323505680512</v>
      </c>
      <c r="N114">
        <f t="shared" si="14"/>
        <v>-72799.02531508314</v>
      </c>
      <c r="O114">
        <f t="shared" si="15"/>
        <v>11408.323505680512</v>
      </c>
      <c r="P114">
        <f t="shared" si="16"/>
        <v>-67999.42150258322</v>
      </c>
    </row>
    <row r="115" spans="2:16" ht="15">
      <c r="B115">
        <f t="shared" si="17"/>
        <v>5.299999999999989</v>
      </c>
      <c r="C115">
        <f>IF(Eingabe_Ausgabe!$B$13=1,Berechnung!C114,C114+G114*B115)</f>
        <v>41.00026417135857</v>
      </c>
      <c r="D115">
        <f>IF(Eingabe_Ausgabe!$B$13=1,Berechnung!D114+dt*g,D114+H114*B115)</f>
        <v>-284.5170527945488</v>
      </c>
      <c r="E115">
        <f>0.5*roh_luft*Eingabe_Ausgabe!$B$7*(C115*C115+D115*D115)</f>
        <v>5849805.007663262</v>
      </c>
      <c r="F115">
        <f t="shared" si="10"/>
        <v>-1.427676812697595</v>
      </c>
      <c r="G115">
        <f>IF(Eingabe_Ausgabe!$B$13=1,0,-COS(F115)*E115/m)</f>
        <v>0</v>
      </c>
      <c r="H115">
        <f>IF(Eingabe_Ausgabe!$B$13=1,g,g-SIN(F115)*E115/m)</f>
        <v>-9.81</v>
      </c>
      <c r="I115" s="4">
        <f t="shared" si="19"/>
        <v>0</v>
      </c>
      <c r="J115" s="4">
        <f t="shared" si="18"/>
        <v>0</v>
      </c>
      <c r="K115">
        <f t="shared" si="11"/>
        <v>0</v>
      </c>
      <c r="L115">
        <f t="shared" si="12"/>
        <v>-81.79985587626153</v>
      </c>
      <c r="M115">
        <f t="shared" si="13"/>
        <v>11625.62490578871</v>
      </c>
      <c r="N115">
        <f t="shared" si="14"/>
        <v>-74306.96569489424</v>
      </c>
      <c r="O115">
        <f t="shared" si="15"/>
        <v>11625.62490578871</v>
      </c>
      <c r="P115">
        <f t="shared" si="16"/>
        <v>-69369.58043239433</v>
      </c>
    </row>
    <row r="116" spans="2:16" ht="15">
      <c r="B116">
        <f t="shared" si="17"/>
        <v>5.349999999999989</v>
      </c>
      <c r="C116">
        <f>IF(Eingabe_Ausgabe!$B$13=1,Berechnung!C115,C115+G115*B116)</f>
        <v>41.00026417135857</v>
      </c>
      <c r="D116">
        <f>IF(Eingabe_Ausgabe!$B$13=1,Berechnung!D115+dt*g,D115+H115*B116)</f>
        <v>-285.0075527945488</v>
      </c>
      <c r="E116">
        <f>0.5*roh_luft*Eingabe_Ausgabe!$B$7*(C116*C116+D116*D116)</f>
        <v>5869581.534202694</v>
      </c>
      <c r="F116">
        <f t="shared" si="10"/>
        <v>-1.4279197811675655</v>
      </c>
      <c r="G116">
        <f>IF(Eingabe_Ausgabe!$B$13=1,0,-COS(F116)*E116/m)</f>
        <v>0</v>
      </c>
      <c r="H116">
        <f>IF(Eingabe_Ausgabe!$B$13=1,g,g-SIN(F116)*E116/m)</f>
        <v>-9.81</v>
      </c>
      <c r="I116" s="4">
        <f t="shared" si="19"/>
        <v>0</v>
      </c>
      <c r="J116" s="4">
        <f t="shared" si="18"/>
        <v>0</v>
      </c>
      <c r="K116">
        <f t="shared" si="11"/>
        <v>0</v>
      </c>
      <c r="L116">
        <f t="shared" si="12"/>
        <v>-81.81377694414559</v>
      </c>
      <c r="M116">
        <f t="shared" si="13"/>
        <v>11844.976319105479</v>
      </c>
      <c r="N116">
        <f t="shared" si="14"/>
        <v>-75831.75610234507</v>
      </c>
      <c r="O116">
        <f t="shared" si="15"/>
        <v>11844.976319105479</v>
      </c>
      <c r="P116">
        <f t="shared" si="16"/>
        <v>-70753.97747734518</v>
      </c>
    </row>
    <row r="117" spans="2:16" ht="15">
      <c r="B117">
        <f t="shared" si="17"/>
        <v>5.399999999999989</v>
      </c>
      <c r="C117">
        <f>IF(Eingabe_Ausgabe!$B$13=1,Berechnung!C116,C116+G116*B117)</f>
        <v>41.00026417135857</v>
      </c>
      <c r="D117">
        <f>IF(Eingabe_Ausgabe!$B$13=1,Berechnung!D116+dt*g,D116+H116*B117)</f>
        <v>-285.4980527945488</v>
      </c>
      <c r="E117">
        <f>0.5*roh_luft*Eingabe_Ausgabe!$B$7*(C117*C117+D117*D117)</f>
        <v>5889392.125596119</v>
      </c>
      <c r="F117">
        <f t="shared" si="10"/>
        <v>-1.4281619316720136</v>
      </c>
      <c r="G117">
        <f>IF(Eingabe_Ausgabe!$B$13=1,0,-COS(F117)*E117/m)</f>
        <v>0</v>
      </c>
      <c r="H117">
        <f>IF(Eingabe_Ausgabe!$B$13=1,g,g-SIN(F117)*E117/m)</f>
        <v>-9.81</v>
      </c>
      <c r="I117" s="4">
        <f t="shared" si="19"/>
        <v>0</v>
      </c>
      <c r="J117" s="4">
        <f t="shared" si="18"/>
        <v>0</v>
      </c>
      <c r="K117">
        <f t="shared" si="11"/>
        <v>0</v>
      </c>
      <c r="L117">
        <f t="shared" si="12"/>
        <v>-81.82765114605743</v>
      </c>
      <c r="M117">
        <f t="shared" si="13"/>
        <v>12066.377745630814</v>
      </c>
      <c r="N117">
        <f t="shared" si="14"/>
        <v>-77373.44558743564</v>
      </c>
      <c r="O117">
        <f t="shared" si="15"/>
        <v>12066.377745630814</v>
      </c>
      <c r="P117">
        <f t="shared" si="16"/>
        <v>-72152.63716243574</v>
      </c>
    </row>
    <row r="118" spans="2:16" ht="15">
      <c r="B118">
        <f t="shared" si="17"/>
        <v>5.449999999999989</v>
      </c>
      <c r="C118">
        <f>IF(Eingabe_Ausgabe!$B$13=1,Berechnung!C117,C117+G117*B118)</f>
        <v>41.00026417135857</v>
      </c>
      <c r="D118">
        <f>IF(Eingabe_Ausgabe!$B$13=1,Berechnung!D117+dt*g,D117+H117*B118)</f>
        <v>-285.9885527945488</v>
      </c>
      <c r="E118">
        <f>0.5*roh_luft*Eingabe_Ausgabe!$B$7*(C118*C118+D118*D118)</f>
        <v>5909236.781843537</v>
      </c>
      <c r="F118">
        <f t="shared" si="10"/>
        <v>-1.4284032683063261</v>
      </c>
      <c r="G118">
        <f>IF(Eingabe_Ausgabe!$B$13=1,0,-COS(F118)*E118/m)</f>
        <v>0</v>
      </c>
      <c r="H118">
        <f>IF(Eingabe_Ausgabe!$B$13=1,g,g-SIN(F118)*E118/m)</f>
        <v>-9.81</v>
      </c>
      <c r="I118" s="4">
        <f t="shared" si="19"/>
        <v>0</v>
      </c>
      <c r="J118" s="4">
        <f t="shared" si="18"/>
        <v>0</v>
      </c>
      <c r="K118">
        <f t="shared" si="11"/>
        <v>0</v>
      </c>
      <c r="L118">
        <f t="shared" si="12"/>
        <v>-81.84147871664544</v>
      </c>
      <c r="M118">
        <f t="shared" si="13"/>
        <v>12289.829185364719</v>
      </c>
      <c r="N118">
        <f t="shared" si="14"/>
        <v>-78932.08320016593</v>
      </c>
      <c r="O118">
        <f t="shared" si="15"/>
        <v>12289.829185364719</v>
      </c>
      <c r="P118">
        <f t="shared" si="16"/>
        <v>-73565.58401266603</v>
      </c>
    </row>
    <row r="119" spans="2:16" ht="15">
      <c r="B119">
        <f t="shared" si="17"/>
        <v>5.4999999999999885</v>
      </c>
      <c r="C119">
        <f>IF(Eingabe_Ausgabe!$B$13=1,Berechnung!C118,C118+G118*B119)</f>
        <v>41.00026417135857</v>
      </c>
      <c r="D119">
        <f>IF(Eingabe_Ausgabe!$B$13=1,Berechnung!D118+dt*g,D118+H118*B119)</f>
        <v>-286.4790527945488</v>
      </c>
      <c r="E119">
        <f>0.5*roh_luft*Eingabe_Ausgabe!$B$7*(C119*C119+D119*D119)</f>
        <v>5929115.50294495</v>
      </c>
      <c r="F119">
        <f t="shared" si="10"/>
        <v>-1.4286437951387858</v>
      </c>
      <c r="G119">
        <f>IF(Eingabe_Ausgabe!$B$13=1,0,-COS(F119)*E119/m)</f>
        <v>0</v>
      </c>
      <c r="H119">
        <f>IF(Eingabe_Ausgabe!$B$13=1,g,g-SIN(F119)*E119/m)</f>
        <v>-9.81</v>
      </c>
      <c r="I119" s="4">
        <f t="shared" si="19"/>
        <v>0</v>
      </c>
      <c r="J119" s="4">
        <f t="shared" si="18"/>
        <v>0</v>
      </c>
      <c r="K119">
        <f t="shared" si="11"/>
        <v>0</v>
      </c>
      <c r="L119">
        <f t="shared" si="12"/>
        <v>-81.85525988900503</v>
      </c>
      <c r="M119">
        <f t="shared" si="13"/>
        <v>12515.33063830719</v>
      </c>
      <c r="N119">
        <f t="shared" si="14"/>
        <v>-80507.71799053594</v>
      </c>
      <c r="O119">
        <f t="shared" si="15"/>
        <v>12515.33063830719</v>
      </c>
      <c r="P119">
        <f t="shared" si="16"/>
        <v>-74992.84255303605</v>
      </c>
    </row>
    <row r="120" spans="2:16" ht="15">
      <c r="B120">
        <f t="shared" si="17"/>
        <v>5.549999999999988</v>
      </c>
      <c r="C120">
        <f>IF(Eingabe_Ausgabe!$B$13=1,Berechnung!C119,C119+G119*B120)</f>
        <v>41.00026417135857</v>
      </c>
      <c r="D120">
        <f>IF(Eingabe_Ausgabe!$B$13=1,Berechnung!D119+dt*g,D119+H119*B120)</f>
        <v>-286.9695527945488</v>
      </c>
      <c r="E120">
        <f>0.5*roh_luft*Eingabe_Ausgabe!$B$7*(C120*C120+D120*D120)</f>
        <v>5949028.288900357</v>
      </c>
      <c r="F120">
        <f t="shared" si="10"/>
        <v>-1.4288835162107936</v>
      </c>
      <c r="G120">
        <f>IF(Eingabe_Ausgabe!$B$13=1,0,-COS(F120)*E120/m)</f>
        <v>0</v>
      </c>
      <c r="H120">
        <f>IF(Eingabe_Ausgabe!$B$13=1,g,g-SIN(F120)*E120/m)</f>
        <v>-9.81</v>
      </c>
      <c r="I120" s="4">
        <f t="shared" si="19"/>
        <v>0</v>
      </c>
      <c r="J120" s="4">
        <f t="shared" si="18"/>
        <v>0</v>
      </c>
      <c r="K120">
        <f t="shared" si="11"/>
        <v>0</v>
      </c>
      <c r="L120">
        <f t="shared" si="12"/>
        <v>-81.86899489469143</v>
      </c>
      <c r="M120">
        <f t="shared" si="13"/>
        <v>12742.88210445823</v>
      </c>
      <c r="N120">
        <f t="shared" si="14"/>
        <v>-82100.39900854568</v>
      </c>
      <c r="O120">
        <f t="shared" si="15"/>
        <v>12742.88210445823</v>
      </c>
      <c r="P120">
        <f t="shared" si="16"/>
        <v>-76434.4373085458</v>
      </c>
    </row>
    <row r="121" spans="2:16" ht="15">
      <c r="B121">
        <f t="shared" si="17"/>
        <v>5.599999999999988</v>
      </c>
      <c r="C121">
        <f>IF(Eingabe_Ausgabe!$B$13=1,Berechnung!C120,C120+G120*B121)</f>
        <v>41.00026417135857</v>
      </c>
      <c r="D121">
        <f>IF(Eingabe_Ausgabe!$B$13=1,Berechnung!D120+dt*g,D120+H120*B121)</f>
        <v>-287.4600527945488</v>
      </c>
      <c r="E121">
        <f>0.5*roh_luft*Eingabe_Ausgabe!$B$7*(C121*C121+D121*D121)</f>
        <v>5968975.139709757</v>
      </c>
      <c r="F121">
        <f t="shared" si="10"/>
        <v>-1.4291224355370893</v>
      </c>
      <c r="G121">
        <f>IF(Eingabe_Ausgabe!$B$13=1,0,-COS(F121)*E121/m)</f>
        <v>0</v>
      </c>
      <c r="H121">
        <f>IF(Eingabe_Ausgabe!$B$13=1,g,g-SIN(F121)*E121/m)</f>
        <v>-9.81</v>
      </c>
      <c r="I121" s="4">
        <f t="shared" si="19"/>
        <v>0</v>
      </c>
      <c r="J121" s="4">
        <f t="shared" si="18"/>
        <v>0</v>
      </c>
      <c r="K121">
        <f t="shared" si="11"/>
        <v>0</v>
      </c>
      <c r="L121">
        <f t="shared" si="12"/>
        <v>-81.88268396373228</v>
      </c>
      <c r="M121">
        <f t="shared" si="13"/>
        <v>12972.483583817837</v>
      </c>
      <c r="N121">
        <f t="shared" si="14"/>
        <v>-83710.17530419515</v>
      </c>
      <c r="O121">
        <f t="shared" si="15"/>
        <v>12972.483583817837</v>
      </c>
      <c r="P121">
        <f t="shared" si="16"/>
        <v>-77890.39280419527</v>
      </c>
    </row>
    <row r="122" spans="2:16" ht="15">
      <c r="B122">
        <f t="shared" si="17"/>
        <v>5.649999999999988</v>
      </c>
      <c r="C122">
        <f>IF(Eingabe_Ausgabe!$B$13=1,Berechnung!C121,C121+G121*B122)</f>
        <v>41.00026417135857</v>
      </c>
      <c r="D122">
        <f>IF(Eingabe_Ausgabe!$B$13=1,Berechnung!D121+dt*g,D121+H121*B122)</f>
        <v>-287.9505527945488</v>
      </c>
      <c r="E122">
        <f>0.5*roh_luft*Eingabe_Ausgabe!$B$7*(C122*C122+D122*D122)</f>
        <v>5988956.055373151</v>
      </c>
      <c r="F122">
        <f t="shared" si="10"/>
        <v>-1.4293605571059689</v>
      </c>
      <c r="G122">
        <f>IF(Eingabe_Ausgabe!$B$13=1,0,-COS(F122)*E122/m)</f>
        <v>0</v>
      </c>
      <c r="H122">
        <f>IF(Eingabe_Ausgabe!$B$13=1,g,g-SIN(F122)*E122/m)</f>
        <v>-9.81</v>
      </c>
      <c r="I122" s="4">
        <f t="shared" si="19"/>
        <v>0</v>
      </c>
      <c r="J122" s="4">
        <f t="shared" si="18"/>
        <v>0</v>
      </c>
      <c r="K122">
        <f t="shared" si="11"/>
        <v>0</v>
      </c>
      <c r="L122">
        <f t="shared" si="12"/>
        <v>-81.89632732464011</v>
      </c>
      <c r="M122">
        <f t="shared" si="13"/>
        <v>13204.135076386012</v>
      </c>
      <c r="N122">
        <f t="shared" si="14"/>
        <v>-85337.09592748435</v>
      </c>
      <c r="O122">
        <f t="shared" si="15"/>
        <v>13204.135076386012</v>
      </c>
      <c r="P122">
        <f t="shared" si="16"/>
        <v>-79360.73356498448</v>
      </c>
    </row>
    <row r="123" spans="2:16" ht="15">
      <c r="B123">
        <f t="shared" si="17"/>
        <v>5.699999999999988</v>
      </c>
      <c r="C123">
        <f>IF(Eingabe_Ausgabe!$B$13=1,Berechnung!C122,C122+G122*B123)</f>
        <v>41.00026417135857</v>
      </c>
      <c r="D123">
        <f>IF(Eingabe_Ausgabe!$B$13=1,Berechnung!D122+dt*g,D122+H122*B123)</f>
        <v>-288.4410527945488</v>
      </c>
      <c r="E123">
        <f>0.5*roh_luft*Eingabe_Ausgabe!$B$7*(C123*C123+D123*D123)</f>
        <v>6008971.035890538</v>
      </c>
      <c r="F123">
        <f t="shared" si="10"/>
        <v>-1.4295978848795006</v>
      </c>
      <c r="G123">
        <f>IF(Eingabe_Ausgabe!$B$13=1,0,-COS(F123)*E123/m)</f>
        <v>0</v>
      </c>
      <c r="H123">
        <f>IF(Eingabe_Ausgabe!$B$13=1,g,g-SIN(F123)*E123/m)</f>
        <v>-9.81</v>
      </c>
      <c r="I123" s="4">
        <f t="shared" si="19"/>
        <v>0</v>
      </c>
      <c r="J123" s="4">
        <f t="shared" si="18"/>
        <v>0</v>
      </c>
      <c r="K123">
        <f t="shared" si="11"/>
        <v>0</v>
      </c>
      <c r="L123">
        <f t="shared" si="12"/>
        <v>-81.90992520442471</v>
      </c>
      <c r="M123">
        <f t="shared" si="13"/>
        <v>13437.836582162756</v>
      </c>
      <c r="N123">
        <f t="shared" si="14"/>
        <v>-86981.20992841327</v>
      </c>
      <c r="O123">
        <f t="shared" si="15"/>
        <v>13437.836582162756</v>
      </c>
      <c r="P123">
        <f t="shared" si="16"/>
        <v>-80845.48411591341</v>
      </c>
    </row>
    <row r="124" spans="2:16" ht="15">
      <c r="B124">
        <f t="shared" si="17"/>
        <v>5.749999999999988</v>
      </c>
      <c r="C124">
        <f>IF(Eingabe_Ausgabe!$B$13=1,Berechnung!C123,C123+G123*B124)</f>
        <v>41.00026417135857</v>
      </c>
      <c r="D124">
        <f>IF(Eingabe_Ausgabe!$B$13=1,Berechnung!D123+dt*g,D123+H123*B124)</f>
        <v>-288.9315527945488</v>
      </c>
      <c r="E124">
        <f>0.5*roh_luft*Eingabe_Ausgabe!$B$7*(C124*C124+D124*D124)</f>
        <v>6029020.081261919</v>
      </c>
      <c r="F124">
        <f t="shared" si="10"/>
        <v>-1.4298344227937385</v>
      </c>
      <c r="G124">
        <f>IF(Eingabe_Ausgabe!$B$13=1,0,-COS(F124)*E124/m)</f>
        <v>0</v>
      </c>
      <c r="H124">
        <f>IF(Eingabe_Ausgabe!$B$13=1,g,g-SIN(F124)*E124/m)</f>
        <v>-9.81</v>
      </c>
      <c r="I124" s="4">
        <f t="shared" si="19"/>
        <v>0</v>
      </c>
      <c r="J124" s="4">
        <f t="shared" si="18"/>
        <v>0</v>
      </c>
      <c r="K124">
        <f t="shared" si="11"/>
        <v>0</v>
      </c>
      <c r="L124">
        <f t="shared" si="12"/>
        <v>-81.92347782860537</v>
      </c>
      <c r="M124">
        <f t="shared" si="13"/>
        <v>13673.588101148067</v>
      </c>
      <c r="N124">
        <f t="shared" si="14"/>
        <v>-88642.56635698193</v>
      </c>
      <c r="O124">
        <f t="shared" si="15"/>
        <v>13673.588101148067</v>
      </c>
      <c r="P124">
        <f t="shared" si="16"/>
        <v>-82344.66898198206</v>
      </c>
    </row>
    <row r="125" spans="2:16" ht="15">
      <c r="B125">
        <f t="shared" si="17"/>
        <v>5.799999999999987</v>
      </c>
      <c r="C125">
        <f>IF(Eingabe_Ausgabe!$B$13=1,Berechnung!C124,C124+G124*B125)</f>
        <v>41.00026417135857</v>
      </c>
      <c r="D125">
        <f>IF(Eingabe_Ausgabe!$B$13=1,Berechnung!D124+dt*g,D124+H124*B125)</f>
        <v>-289.4220527945488</v>
      </c>
      <c r="E125">
        <f>0.5*roh_luft*Eingabe_Ausgabe!$B$7*(C125*C125+D125*D125)</f>
        <v>6049103.191487293</v>
      </c>
      <c r="F125">
        <f t="shared" si="10"/>
        <v>-1.4300701747589348</v>
      </c>
      <c r="G125">
        <f>IF(Eingabe_Ausgabe!$B$13=1,0,-COS(F125)*E125/m)</f>
        <v>0</v>
      </c>
      <c r="H125">
        <f>IF(Eingabe_Ausgabe!$B$13=1,g,g-SIN(F125)*E125/m)</f>
        <v>-9.81</v>
      </c>
      <c r="I125" s="4">
        <f t="shared" si="19"/>
        <v>0</v>
      </c>
      <c r="J125" s="4">
        <f t="shared" si="18"/>
        <v>0</v>
      </c>
      <c r="K125">
        <f t="shared" si="11"/>
        <v>0</v>
      </c>
      <c r="L125">
        <f t="shared" si="12"/>
        <v>-81.93698542122304</v>
      </c>
      <c r="M125">
        <f t="shared" si="13"/>
        <v>13911.389633341947</v>
      </c>
      <c r="N125">
        <f t="shared" si="14"/>
        <v>-90321.21426319031</v>
      </c>
      <c r="O125">
        <f t="shared" si="15"/>
        <v>13911.389633341947</v>
      </c>
      <c r="P125">
        <f t="shared" si="16"/>
        <v>-83858.31268819043</v>
      </c>
    </row>
    <row r="126" spans="2:16" ht="15">
      <c r="B126">
        <f t="shared" si="17"/>
        <v>5.849999999999987</v>
      </c>
      <c r="C126">
        <f>IF(Eingabe_Ausgabe!$B$13=1,Berechnung!C125,C125+G125*B126)</f>
        <v>41.00026417135857</v>
      </c>
      <c r="D126">
        <f>IF(Eingabe_Ausgabe!$B$13=1,Berechnung!D125+dt*g,D125+H125*B126)</f>
        <v>-289.9125527945488</v>
      </c>
      <c r="E126">
        <f>0.5*roh_luft*Eingabe_Ausgabe!$B$7*(C126*C126+D126*D126)</f>
        <v>6069220.366566661</v>
      </c>
      <c r="F126">
        <f t="shared" si="10"/>
        <v>-1.4303051446597481</v>
      </c>
      <c r="G126">
        <f>IF(Eingabe_Ausgabe!$B$13=1,0,-COS(F126)*E126/m)</f>
        <v>0</v>
      </c>
      <c r="H126">
        <f>IF(Eingabe_Ausgabe!$B$13=1,g,g-SIN(F126)*E126/m)</f>
        <v>-9.81</v>
      </c>
      <c r="I126" s="4">
        <f t="shared" si="19"/>
        <v>0</v>
      </c>
      <c r="J126" s="4">
        <f t="shared" si="18"/>
        <v>0</v>
      </c>
      <c r="K126">
        <f t="shared" si="11"/>
        <v>0</v>
      </c>
      <c r="L126">
        <f t="shared" si="12"/>
        <v>-81.95044820485225</v>
      </c>
      <c r="M126">
        <f t="shared" si="13"/>
        <v>14151.241178744394</v>
      </c>
      <c r="N126">
        <f t="shared" si="14"/>
        <v>-92017.20269703842</v>
      </c>
      <c r="O126">
        <f t="shared" si="15"/>
        <v>14151.241178744394</v>
      </c>
      <c r="P126">
        <f t="shared" si="16"/>
        <v>-85386.43975953854</v>
      </c>
    </row>
    <row r="127" spans="2:16" ht="15">
      <c r="B127">
        <f t="shared" si="17"/>
        <v>5.899999999999987</v>
      </c>
      <c r="C127">
        <f>IF(Eingabe_Ausgabe!$B$13=1,Berechnung!C126,C126+G126*B127)</f>
        <v>41.00026417135857</v>
      </c>
      <c r="D127">
        <f>IF(Eingabe_Ausgabe!$B$13=1,Berechnung!D126+dt*g,D126+H126*B127)</f>
        <v>-290.4030527945488</v>
      </c>
      <c r="E127">
        <f>0.5*roh_luft*Eingabe_Ausgabe!$B$7*(C127*C127+D127*D127)</f>
        <v>6089371.606500022</v>
      </c>
      <c r="F127">
        <f t="shared" si="10"/>
        <v>-1.4305393363554528</v>
      </c>
      <c r="G127">
        <f>IF(Eingabe_Ausgabe!$B$13=1,0,-COS(F127)*E127/m)</f>
        <v>0</v>
      </c>
      <c r="H127">
        <f>IF(Eingabe_Ausgabe!$B$13=1,g,g-SIN(F127)*E127/m)</f>
        <v>-9.81</v>
      </c>
      <c r="I127" s="4">
        <f t="shared" si="19"/>
        <v>0</v>
      </c>
      <c r="J127" s="4">
        <f t="shared" si="18"/>
        <v>0</v>
      </c>
      <c r="K127">
        <f t="shared" si="11"/>
        <v>0</v>
      </c>
      <c r="L127">
        <f t="shared" si="12"/>
        <v>-81.96386640061314</v>
      </c>
      <c r="M127">
        <f t="shared" si="13"/>
        <v>14393.142737355409</v>
      </c>
      <c r="N127">
        <f t="shared" si="14"/>
        <v>-93730.58070852625</v>
      </c>
      <c r="O127">
        <f t="shared" si="15"/>
        <v>14393.142737355409</v>
      </c>
      <c r="P127">
        <f t="shared" si="16"/>
        <v>-86929.07472102638</v>
      </c>
    </row>
    <row r="128" spans="2:16" ht="15">
      <c r="B128">
        <f t="shared" si="17"/>
        <v>5.949999999999987</v>
      </c>
      <c r="C128">
        <f>IF(Eingabe_Ausgabe!$B$13=1,Berechnung!C127,C127+G127*B128)</f>
        <v>41.00026417135857</v>
      </c>
      <c r="D128">
        <f>IF(Eingabe_Ausgabe!$B$13=1,Berechnung!D127+dt*g,D127+H127*B128)</f>
        <v>-290.8935527945488</v>
      </c>
      <c r="E128">
        <f>0.5*roh_luft*Eingabe_Ausgabe!$B$7*(C128*C128+D128*D128)</f>
        <v>6109556.911287378</v>
      </c>
      <c r="F128">
        <f t="shared" si="10"/>
        <v>-1.430772753680143</v>
      </c>
      <c r="G128">
        <f>IF(Eingabe_Ausgabe!$B$13=1,0,-COS(F128)*E128/m)</f>
        <v>0</v>
      </c>
      <c r="H128">
        <f>IF(Eingabe_Ausgabe!$B$13=1,g,g-SIN(F128)*E128/m)</f>
        <v>-9.81</v>
      </c>
      <c r="I128" s="4">
        <f t="shared" si="19"/>
        <v>0</v>
      </c>
      <c r="J128" s="4">
        <f t="shared" si="18"/>
        <v>0</v>
      </c>
      <c r="K128">
        <f t="shared" si="11"/>
        <v>0</v>
      </c>
      <c r="L128">
        <f t="shared" si="12"/>
        <v>-81.9772402281831</v>
      </c>
      <c r="M128">
        <f t="shared" si="13"/>
        <v>14637.094309174992</v>
      </c>
      <c r="N128">
        <f t="shared" si="14"/>
        <v>-95461.39734765381</v>
      </c>
      <c r="O128">
        <f t="shared" si="15"/>
        <v>14637.094309174992</v>
      </c>
      <c r="P128">
        <f t="shared" si="16"/>
        <v>-88486.24209765394</v>
      </c>
    </row>
    <row r="129" spans="2:16" ht="15">
      <c r="B129">
        <f t="shared" si="17"/>
        <v>5.999999999999987</v>
      </c>
      <c r="C129">
        <f>IF(Eingabe_Ausgabe!$B$13=1,Berechnung!C128,C128+G128*B129)</f>
        <v>41.00026417135857</v>
      </c>
      <c r="D129">
        <f>IF(Eingabe_Ausgabe!$B$13=1,Berechnung!D128+dt*g,D128+H128*B129)</f>
        <v>-291.3840527945488</v>
      </c>
      <c r="E129">
        <f>0.5*roh_luft*Eingabe_Ausgabe!$B$7*(C129*C129+D129*D129)</f>
        <v>6129776.280928727</v>
      </c>
      <c r="F129">
        <f t="shared" si="10"/>
        <v>-1.4310054004429367</v>
      </c>
      <c r="G129">
        <f>IF(Eingabe_Ausgabe!$B$13=1,0,-COS(F129)*E129/m)</f>
        <v>0</v>
      </c>
      <c r="H129">
        <f>IF(Eingabe_Ausgabe!$B$13=1,g,g-SIN(F129)*E129/m)</f>
        <v>-9.81</v>
      </c>
      <c r="I129" s="4">
        <f t="shared" si="19"/>
        <v>0</v>
      </c>
      <c r="J129" s="4">
        <f t="shared" si="18"/>
        <v>0</v>
      </c>
      <c r="K129">
        <f t="shared" si="11"/>
        <v>0</v>
      </c>
      <c r="L129">
        <f t="shared" si="12"/>
        <v>-81.99056990580857</v>
      </c>
      <c r="M129">
        <f t="shared" si="13"/>
        <v>14883.095894203143</v>
      </c>
      <c r="N129">
        <f t="shared" si="14"/>
        <v>-97209.7016644211</v>
      </c>
      <c r="O129">
        <f t="shared" si="15"/>
        <v>14883.095894203143</v>
      </c>
      <c r="P129">
        <f t="shared" si="16"/>
        <v>-90057.96641442123</v>
      </c>
    </row>
    <row r="130" spans="2:16" ht="15">
      <c r="B130">
        <f t="shared" si="17"/>
        <v>6.0499999999999865</v>
      </c>
      <c r="C130">
        <f>IF(Eingabe_Ausgabe!$B$13=1,Berechnung!C129,C129+G129*B130)</f>
        <v>41.00026417135857</v>
      </c>
      <c r="D130">
        <f>IF(Eingabe_Ausgabe!$B$13=1,Berechnung!D129+dt*g,D129+H129*B130)</f>
        <v>-291.8745527945488</v>
      </c>
      <c r="E130">
        <f>0.5*roh_luft*Eingabe_Ausgabe!$B$7*(C130*C130+D130*D130)</f>
        <v>6150029.71542407</v>
      </c>
      <c r="F130">
        <f t="shared" si="10"/>
        <v>-1.431237280428178</v>
      </c>
      <c r="G130">
        <f>IF(Eingabe_Ausgabe!$B$13=1,0,-COS(F130)*E130/m)</f>
        <v>0</v>
      </c>
      <c r="H130">
        <f>IF(Eingabe_Ausgabe!$B$13=1,g,g-SIN(F130)*E130/m)</f>
        <v>-9.81</v>
      </c>
      <c r="I130" s="4">
        <f t="shared" si="19"/>
        <v>0</v>
      </c>
      <c r="J130" s="4">
        <f t="shared" si="18"/>
        <v>0</v>
      </c>
      <c r="K130">
        <f t="shared" si="11"/>
        <v>0</v>
      </c>
      <c r="L130">
        <f t="shared" si="12"/>
        <v>-82.00385565031647</v>
      </c>
      <c r="M130">
        <f t="shared" si="13"/>
        <v>15131.147492439863</v>
      </c>
      <c r="N130">
        <f t="shared" si="14"/>
        <v>-98975.54270882811</v>
      </c>
      <c r="O130">
        <f t="shared" si="15"/>
        <v>15131.147492439863</v>
      </c>
      <c r="P130">
        <f t="shared" si="16"/>
        <v>-91644.27219632824</v>
      </c>
    </row>
    <row r="131" spans="2:16" ht="15">
      <c r="B131">
        <f t="shared" si="17"/>
        <v>6.099999999999986</v>
      </c>
      <c r="C131">
        <f>IF(Eingabe_Ausgabe!$B$13=1,Berechnung!C130,C130+G130*B131)</f>
        <v>41.00026417135857</v>
      </c>
      <c r="D131">
        <f>IF(Eingabe_Ausgabe!$B$13=1,Berechnung!D130+dt*g,D130+H130*B131)</f>
        <v>-292.3650527945488</v>
      </c>
      <c r="E131">
        <f>0.5*roh_luft*Eingabe_Ausgabe!$B$7*(C131*C131+D131*D131)</f>
        <v>6170317.214773406</v>
      </c>
      <c r="F131">
        <f t="shared" si="10"/>
        <v>-1.4314683973956366</v>
      </c>
      <c r="G131">
        <f>IF(Eingabe_Ausgabe!$B$13=1,0,-COS(F131)*E131/m)</f>
        <v>0</v>
      </c>
      <c r="H131">
        <f>IF(Eingabe_Ausgabe!$B$13=1,g,g-SIN(F131)*E131/m)</f>
        <v>-9.81</v>
      </c>
      <c r="I131" s="4">
        <f t="shared" si="19"/>
        <v>0</v>
      </c>
      <c r="J131" s="4">
        <f t="shared" si="18"/>
        <v>0</v>
      </c>
      <c r="K131">
        <f t="shared" si="11"/>
        <v>0</v>
      </c>
      <c r="L131">
        <f t="shared" si="12"/>
        <v>-82.0170976771257</v>
      </c>
      <c r="M131">
        <f t="shared" si="13"/>
        <v>15381.24910388515</v>
      </c>
      <c r="N131">
        <f t="shared" si="14"/>
        <v>-100758.96953087486</v>
      </c>
      <c r="O131">
        <f t="shared" si="15"/>
        <v>15381.24910388515</v>
      </c>
      <c r="P131">
        <f t="shared" si="16"/>
        <v>-93245.18396837499</v>
      </c>
    </row>
    <row r="132" spans="2:16" ht="15">
      <c r="B132">
        <f t="shared" si="17"/>
        <v>6.149999999999986</v>
      </c>
      <c r="C132">
        <f>IF(Eingabe_Ausgabe!$B$13=1,Berechnung!C131,C131+G131*B132)</f>
        <v>41.00026417135857</v>
      </c>
      <c r="D132">
        <f>IF(Eingabe_Ausgabe!$B$13=1,Berechnung!D131+dt*g,D131+H131*B132)</f>
        <v>-292.85555279454877</v>
      </c>
      <c r="E132">
        <f>0.5*roh_luft*Eingabe_Ausgabe!$B$7*(C132*C132+D132*D132)</f>
        <v>6190638.778976737</v>
      </c>
      <c r="F132">
        <f t="shared" si="10"/>
        <v>-1.4316987550807039</v>
      </c>
      <c r="G132">
        <f>IF(Eingabe_Ausgabe!$B$13=1,0,-COS(F132)*E132/m)</f>
        <v>0</v>
      </c>
      <c r="H132">
        <f>IF(Eingabe_Ausgabe!$B$13=1,g,g-SIN(F132)*E132/m)</f>
        <v>-9.81</v>
      </c>
      <c r="I132" s="4">
        <f t="shared" si="19"/>
        <v>0</v>
      </c>
      <c r="J132" s="4">
        <f t="shared" si="18"/>
        <v>0</v>
      </c>
      <c r="K132">
        <f t="shared" si="11"/>
        <v>0</v>
      </c>
      <c r="L132">
        <f t="shared" si="12"/>
        <v>-82.03029620025846</v>
      </c>
      <c r="M132">
        <f t="shared" si="13"/>
        <v>15633.400728539003</v>
      </c>
      <c r="N132">
        <f t="shared" si="14"/>
        <v>-102560.03118056133</v>
      </c>
      <c r="O132">
        <f t="shared" si="15"/>
        <v>15633.400728539003</v>
      </c>
      <c r="P132">
        <f t="shared" si="16"/>
        <v>-94860.72625556146</v>
      </c>
    </row>
    <row r="133" spans="2:16" ht="15">
      <c r="B133">
        <f t="shared" si="17"/>
        <v>6.199999999999986</v>
      </c>
      <c r="C133">
        <f>IF(Eingabe_Ausgabe!$B$13=1,Berechnung!C132,C132+G132*B133)</f>
        <v>41.00026417135857</v>
      </c>
      <c r="D133">
        <f>IF(Eingabe_Ausgabe!$B$13=1,Berechnung!D132+dt*g,D132+H132*B133)</f>
        <v>-293.34605279454877</v>
      </c>
      <c r="E133">
        <f>0.5*roh_luft*Eingabe_Ausgabe!$B$7*(C133*C133+D133*D133)</f>
        <v>6210994.40803406</v>
      </c>
      <c r="F133">
        <f t="shared" si="10"/>
        <v>-1.431928357194592</v>
      </c>
      <c r="G133">
        <f>IF(Eingabe_Ausgabe!$B$13=1,0,-COS(F133)*E133/m)</f>
        <v>0</v>
      </c>
      <c r="H133">
        <f>IF(Eingabe_Ausgabe!$B$13=1,g,g-SIN(F133)*E133/m)</f>
        <v>-9.81</v>
      </c>
      <c r="I133" s="4">
        <f t="shared" si="19"/>
        <v>0</v>
      </c>
      <c r="J133" s="4">
        <f t="shared" si="18"/>
        <v>0</v>
      </c>
      <c r="K133">
        <f t="shared" si="11"/>
        <v>0</v>
      </c>
      <c r="L133">
        <f t="shared" si="12"/>
        <v>-82.04345143235153</v>
      </c>
      <c r="M133">
        <f t="shared" si="13"/>
        <v>15887.602366401426</v>
      </c>
      <c r="N133">
        <f t="shared" si="14"/>
        <v>-104378.77670788753</v>
      </c>
      <c r="O133">
        <f t="shared" si="15"/>
        <v>15887.602366401426</v>
      </c>
      <c r="P133">
        <f t="shared" si="16"/>
        <v>-96490.92358288767</v>
      </c>
    </row>
    <row r="134" spans="2:16" ht="15">
      <c r="B134">
        <f t="shared" si="17"/>
        <v>6.249999999999986</v>
      </c>
      <c r="C134">
        <f>IF(Eingabe_Ausgabe!$B$13=1,Berechnung!C133,C133+G133*B134)</f>
        <v>41.00026417135857</v>
      </c>
      <c r="D134">
        <f>IF(Eingabe_Ausgabe!$B$13=1,Berechnung!D133+dt*g,D133+H133*B134)</f>
        <v>-293.83655279454877</v>
      </c>
      <c r="E134">
        <f>0.5*roh_luft*Eingabe_Ausgabe!$B$7*(C134*C134+D134*D134)</f>
        <v>6231384.101945378</v>
      </c>
      <c r="F134">
        <f t="shared" si="10"/>
        <v>-1.432157207424525</v>
      </c>
      <c r="G134">
        <f>IF(Eingabe_Ausgabe!$B$13=1,0,-COS(F134)*E134/m)</f>
        <v>0</v>
      </c>
      <c r="H134">
        <f>IF(Eingabe_Ausgabe!$B$13=1,g,g-SIN(F134)*E134/m)</f>
        <v>-9.81</v>
      </c>
      <c r="I134" s="4">
        <f t="shared" si="19"/>
        <v>0</v>
      </c>
      <c r="J134" s="4">
        <f t="shared" si="18"/>
        <v>0</v>
      </c>
      <c r="K134">
        <f t="shared" si="11"/>
        <v>0</v>
      </c>
      <c r="L134">
        <f t="shared" si="12"/>
        <v>-82.05656358466729</v>
      </c>
      <c r="M134">
        <f t="shared" si="13"/>
        <v>16143.854017472417</v>
      </c>
      <c r="N134">
        <f t="shared" si="14"/>
        <v>-106215.25516285346</v>
      </c>
      <c r="O134">
        <f t="shared" si="15"/>
        <v>16143.854017472417</v>
      </c>
      <c r="P134">
        <f t="shared" si="16"/>
        <v>-98135.8004753536</v>
      </c>
    </row>
    <row r="135" spans="2:16" ht="15">
      <c r="B135">
        <f t="shared" si="17"/>
        <v>6.299999999999986</v>
      </c>
      <c r="C135">
        <f>IF(Eingabe_Ausgabe!$B$13=1,Berechnung!C134,C134+G134*B135)</f>
        <v>41.00026417135857</v>
      </c>
      <c r="D135">
        <f>IF(Eingabe_Ausgabe!$B$13=1,Berechnung!D134+dt*g,D134+H134*B135)</f>
        <v>-294.32705279454876</v>
      </c>
      <c r="E135">
        <f>0.5*roh_luft*Eingabe_Ausgabe!$B$7*(C135*C135+D135*D135)</f>
        <v>6251807.860710689</v>
      </c>
      <c r="F135">
        <f t="shared" si="10"/>
        <v>-1.4323853094339327</v>
      </c>
      <c r="G135">
        <f>IF(Eingabe_Ausgabe!$B$13=1,0,-COS(F135)*E135/m)</f>
        <v>0</v>
      </c>
      <c r="H135">
        <f>IF(Eingabe_Ausgabe!$B$13=1,g,g-SIN(F135)*E135/m)</f>
        <v>-9.81</v>
      </c>
      <c r="I135" s="4">
        <f t="shared" si="19"/>
        <v>0</v>
      </c>
      <c r="J135" s="4">
        <f t="shared" si="18"/>
        <v>0</v>
      </c>
      <c r="K135">
        <f t="shared" si="11"/>
        <v>0</v>
      </c>
      <c r="L135">
        <f t="shared" si="12"/>
        <v>-82.0696328671048</v>
      </c>
      <c r="M135">
        <f t="shared" si="13"/>
        <v>16402.155681751974</v>
      </c>
      <c r="N135">
        <f t="shared" si="14"/>
        <v>-108069.5155954591</v>
      </c>
      <c r="O135">
        <f t="shared" si="15"/>
        <v>16402.155681751974</v>
      </c>
      <c r="P135">
        <f t="shared" si="16"/>
        <v>-99795.38145795924</v>
      </c>
    </row>
    <row r="136" spans="2:16" ht="15">
      <c r="B136">
        <f t="shared" si="17"/>
        <v>6.349999999999985</v>
      </c>
      <c r="C136">
        <f>IF(Eingabe_Ausgabe!$B$13=1,Berechnung!C135,C135+G135*B136)</f>
        <v>41.00026417135857</v>
      </c>
      <c r="D136">
        <f>IF(Eingabe_Ausgabe!$B$13=1,Berechnung!D135+dt*g,D135+H135*B136)</f>
        <v>-294.81755279454876</v>
      </c>
      <c r="E136">
        <f>0.5*roh_luft*Eingabe_Ausgabe!$B$7*(C136*C136+D136*D136)</f>
        <v>6272265.684329993</v>
      </c>
      <c r="F136">
        <f t="shared" si="10"/>
        <v>-1.4326126668626402</v>
      </c>
      <c r="G136">
        <f>IF(Eingabe_Ausgabe!$B$13=1,0,-COS(F136)*E136/m)</f>
        <v>0</v>
      </c>
      <c r="H136">
        <f>IF(Eingabe_Ausgabe!$B$13=1,g,g-SIN(F136)*E136/m)</f>
        <v>-9.81</v>
      </c>
      <c r="I136" s="4">
        <f t="shared" si="19"/>
        <v>0</v>
      </c>
      <c r="J136" s="4">
        <f t="shared" si="18"/>
        <v>0</v>
      </c>
      <c r="K136">
        <f t="shared" si="11"/>
        <v>0</v>
      </c>
      <c r="L136">
        <f t="shared" si="12"/>
        <v>-82.0826594882107</v>
      </c>
      <c r="M136">
        <f t="shared" si="13"/>
        <v>16662.507359240102</v>
      </c>
      <c r="N136">
        <f t="shared" si="14"/>
        <v>-109941.60705570449</v>
      </c>
      <c r="O136">
        <f t="shared" si="15"/>
        <v>16662.507359240102</v>
      </c>
      <c r="P136">
        <f t="shared" si="16"/>
        <v>-101469.69105570462</v>
      </c>
    </row>
    <row r="137" spans="2:16" ht="15">
      <c r="B137">
        <f t="shared" si="17"/>
        <v>6.399999999999985</v>
      </c>
      <c r="C137">
        <f>IF(Eingabe_Ausgabe!$B$13=1,Berechnung!C136,C136+G136*B137)</f>
        <v>41.00026417135857</v>
      </c>
      <c r="D137">
        <f>IF(Eingabe_Ausgabe!$B$13=1,Berechnung!D136+dt*g,D136+H136*B137)</f>
        <v>-295.30805279454876</v>
      </c>
      <c r="E137">
        <f>0.5*roh_luft*Eingabe_Ausgabe!$B$7*(C137*C137+D137*D137)</f>
        <v>6292757.572803291</v>
      </c>
      <c r="F137">
        <f aca="true" t="shared" si="20" ref="F137:F200">ATAN(D137/C137)</f>
        <v>-1.4328392833270567</v>
      </c>
      <c r="G137">
        <f>IF(Eingabe_Ausgabe!$B$13=1,0,-COS(F137)*E137/m)</f>
        <v>0</v>
      </c>
      <c r="H137">
        <f>IF(Eingabe_Ausgabe!$B$13=1,g,g-SIN(F137)*E137/m)</f>
        <v>-9.81</v>
      </c>
      <c r="I137" s="4">
        <f t="shared" si="19"/>
        <v>0</v>
      </c>
      <c r="J137" s="4">
        <f t="shared" si="18"/>
        <v>0</v>
      </c>
      <c r="K137">
        <f t="shared" si="11"/>
        <v>0</v>
      </c>
      <c r="L137">
        <f t="shared" si="12"/>
        <v>-82.09564365518993</v>
      </c>
      <c r="M137">
        <f t="shared" si="13"/>
        <v>16924.909049936796</v>
      </c>
      <c r="N137">
        <f t="shared" si="14"/>
        <v>-111831.5785935896</v>
      </c>
      <c r="O137">
        <f t="shared" si="15"/>
        <v>16924.909049936796</v>
      </c>
      <c r="P137">
        <f t="shared" si="16"/>
        <v>-103158.75379358974</v>
      </c>
    </row>
    <row r="138" spans="2:16" ht="15">
      <c r="B138">
        <f t="shared" si="17"/>
        <v>6.449999999999985</v>
      </c>
      <c r="C138">
        <f>IF(Eingabe_Ausgabe!$B$13=1,Berechnung!C137,C137+G137*B138)</f>
        <v>41.00026417135857</v>
      </c>
      <c r="D138">
        <f>IF(Eingabe_Ausgabe!$B$13=1,Berechnung!D137+dt*g,D137+H137*B138)</f>
        <v>-295.79855279454875</v>
      </c>
      <c r="E138">
        <f>0.5*roh_luft*Eingabe_Ausgabe!$B$7*(C138*C138+D138*D138)</f>
        <v>6313283.526130583</v>
      </c>
      <c r="F138">
        <f t="shared" si="20"/>
        <v>-1.433065162420362</v>
      </c>
      <c r="G138">
        <f>IF(Eingabe_Ausgabe!$B$13=1,0,-COS(F138)*E138/m)</f>
        <v>0</v>
      </c>
      <c r="H138">
        <f>IF(Eingabe_Ausgabe!$B$13=1,g,g-SIN(F138)*E138/m)</f>
        <v>-9.81</v>
      </c>
      <c r="I138" s="4">
        <f t="shared" si="19"/>
        <v>0</v>
      </c>
      <c r="J138" s="4">
        <f t="shared" si="18"/>
        <v>0</v>
      </c>
      <c r="K138">
        <f aca="true" t="shared" si="21" ref="K138:K201">IF(N137&lt;=0,0,SQRT(C138*C138+D138*D138)*3.6)</f>
        <v>0</v>
      </c>
      <c r="L138">
        <f aca="true" t="shared" si="22" ref="L138:L201">DEGREES(F138)</f>
        <v>-82.10858557391657</v>
      </c>
      <c r="M138">
        <f aca="true" t="shared" si="23" ref="M138:M201">M137+C138*B138</f>
        <v>17189.36075384206</v>
      </c>
      <c r="N138">
        <f aca="true" t="shared" si="24" ref="N138:N201">N137+D138*B138</f>
        <v>-113739.47925911444</v>
      </c>
      <c r="O138">
        <f aca="true" t="shared" si="25" ref="O138:O201">O137+$C$9*B138</f>
        <v>17189.36075384206</v>
      </c>
      <c r="P138">
        <f aca="true" t="shared" si="26" ref="P138:P201">P137+v_Anfang*SIN(alpha)*B138+g/2*B138*B138</f>
        <v>-104862.59419661458</v>
      </c>
    </row>
    <row r="139" spans="2:16" ht="15">
      <c r="B139">
        <f aca="true" t="shared" si="27" ref="B139:B202">$B$10+B138</f>
        <v>6.499999999999985</v>
      </c>
      <c r="C139">
        <f>IF(Eingabe_Ausgabe!$B$13=1,Berechnung!C138,C138+G138*B139)</f>
        <v>41.00026417135857</v>
      </c>
      <c r="D139">
        <f>IF(Eingabe_Ausgabe!$B$13=1,Berechnung!D138+dt*g,D138+H138*B139)</f>
        <v>-296.28905279454875</v>
      </c>
      <c r="E139">
        <f>0.5*roh_luft*Eingabe_Ausgabe!$B$7*(C139*C139+D139*D139)</f>
        <v>6333843.544311868</v>
      </c>
      <c r="F139">
        <f t="shared" si="20"/>
        <v>-1.4332903077126926</v>
      </c>
      <c r="G139">
        <f>IF(Eingabe_Ausgabe!$B$13=1,0,-COS(F139)*E139/m)</f>
        <v>0</v>
      </c>
      <c r="H139">
        <f>IF(Eingabe_Ausgabe!$B$13=1,g,g-SIN(F139)*E139/m)</f>
        <v>-9.81</v>
      </c>
      <c r="I139" s="4">
        <f t="shared" si="19"/>
        <v>0</v>
      </c>
      <c r="J139" s="4">
        <f aca="true" t="shared" si="28" ref="J139:J202">IF($B$1*3.6&lt;=K139,1,0)</f>
        <v>0</v>
      </c>
      <c r="K139">
        <f t="shared" si="21"/>
        <v>0</v>
      </c>
      <c r="L139">
        <f t="shared" si="22"/>
        <v>-82.12148544894436</v>
      </c>
      <c r="M139">
        <f t="shared" si="23"/>
        <v>17455.86247095589</v>
      </c>
      <c r="N139">
        <f t="shared" si="24"/>
        <v>-115665.358102279</v>
      </c>
      <c r="O139">
        <f t="shared" si="25"/>
        <v>17455.86247095589</v>
      </c>
      <c r="P139">
        <f t="shared" si="26"/>
        <v>-106581.23678977914</v>
      </c>
    </row>
    <row r="140" spans="2:16" ht="15">
      <c r="B140">
        <f t="shared" si="27"/>
        <v>6.549999999999985</v>
      </c>
      <c r="C140">
        <f>IF(Eingabe_Ausgabe!$B$13=1,Berechnung!C139,C139+G139*B140)</f>
        <v>41.00026417135857</v>
      </c>
      <c r="D140">
        <f>IF(Eingabe_Ausgabe!$B$13=1,Berechnung!D139+dt*g,D139+H139*B140)</f>
        <v>-296.77955279454875</v>
      </c>
      <c r="E140">
        <f>0.5*roh_luft*Eingabe_Ausgabe!$B$7*(C140*C140+D140*D140)</f>
        <v>6354437.627347148</v>
      </c>
      <c r="F140">
        <f t="shared" si="20"/>
        <v>-1.4335147227513227</v>
      </c>
      <c r="G140">
        <f>IF(Eingabe_Ausgabe!$B$13=1,0,-COS(F140)*E140/m)</f>
        <v>0</v>
      </c>
      <c r="H140">
        <f>IF(Eingabe_Ausgabe!$B$13=1,g,g-SIN(F140)*E140/m)</f>
        <v>-9.81</v>
      </c>
      <c r="I140" s="4">
        <f aca="true" t="shared" si="29" ref="I140:I203">IF(AND(N140&lt;=0,I139=0,N139&gt;0),1,0)</f>
        <v>0</v>
      </c>
      <c r="J140" s="4">
        <f t="shared" si="28"/>
        <v>0</v>
      </c>
      <c r="K140">
        <f t="shared" si="21"/>
        <v>0</v>
      </c>
      <c r="L140">
        <f t="shared" si="22"/>
        <v>-82.13434348351713</v>
      </c>
      <c r="M140">
        <f t="shared" si="23"/>
        <v>17724.414201278287</v>
      </c>
      <c r="N140">
        <f t="shared" si="24"/>
        <v>-117609.2641730833</v>
      </c>
      <c r="O140">
        <f t="shared" si="25"/>
        <v>17724.414201278287</v>
      </c>
      <c r="P140">
        <f t="shared" si="26"/>
        <v>-108314.70609808344</v>
      </c>
    </row>
    <row r="141" spans="2:16" ht="15">
      <c r="B141">
        <f t="shared" si="27"/>
        <v>6.5999999999999845</v>
      </c>
      <c r="C141">
        <f>IF(Eingabe_Ausgabe!$B$13=1,Berechnung!C140,C140+G140*B141)</f>
        <v>41.00026417135857</v>
      </c>
      <c r="D141">
        <f>IF(Eingabe_Ausgabe!$B$13=1,Berechnung!D140+dt*g,D140+H140*B141)</f>
        <v>-297.27005279454875</v>
      </c>
      <c r="E141">
        <f>0.5*roh_luft*Eingabe_Ausgabe!$B$7*(C141*C141+D141*D141)</f>
        <v>6375065.775236421</v>
      </c>
      <c r="F141">
        <f t="shared" si="20"/>
        <v>-1.433738411060848</v>
      </c>
      <c r="G141">
        <f>IF(Eingabe_Ausgabe!$B$13=1,0,-COS(F141)*E141/m)</f>
        <v>0</v>
      </c>
      <c r="H141">
        <f>IF(Eingabe_Ausgabe!$B$13=1,g,g-SIN(F141)*E141/m)</f>
        <v>-9.81</v>
      </c>
      <c r="I141" s="4">
        <f t="shared" si="29"/>
        <v>0</v>
      </c>
      <c r="J141" s="4">
        <f t="shared" si="28"/>
        <v>0</v>
      </c>
      <c r="K141">
        <f t="shared" si="21"/>
        <v>0</v>
      </c>
      <c r="L141">
        <f t="shared" si="22"/>
        <v>-82.14715987957933</v>
      </c>
      <c r="M141">
        <f t="shared" si="23"/>
        <v>17995.015944809253</v>
      </c>
      <c r="N141">
        <f t="shared" si="24"/>
        <v>-119571.24652152731</v>
      </c>
      <c r="O141">
        <f t="shared" si="25"/>
        <v>17995.015944809253</v>
      </c>
      <c r="P141">
        <f t="shared" si="26"/>
        <v>-110063.02664652746</v>
      </c>
    </row>
    <row r="142" spans="2:16" ht="15">
      <c r="B142">
        <f t="shared" si="27"/>
        <v>6.649999999999984</v>
      </c>
      <c r="C142">
        <f>IF(Eingabe_Ausgabe!$B$13=1,Berechnung!C141,C141+G141*B142)</f>
        <v>41.00026417135857</v>
      </c>
      <c r="D142">
        <f>IF(Eingabe_Ausgabe!$B$13=1,Berechnung!D141+dt*g,D141+H141*B142)</f>
        <v>-297.76055279454874</v>
      </c>
      <c r="E142">
        <f>0.5*roh_luft*Eingabe_Ausgabe!$B$7*(C142*C142+D142*D142)</f>
        <v>6395727.987979688</v>
      </c>
      <c r="F142">
        <f t="shared" si="20"/>
        <v>-1.4339613761433638</v>
      </c>
      <c r="G142">
        <f>IF(Eingabe_Ausgabe!$B$13=1,0,-COS(F142)*E142/m)</f>
        <v>0</v>
      </c>
      <c r="H142">
        <f>IF(Eingabe_Ausgabe!$B$13=1,g,g-SIN(F142)*E142/m)</f>
        <v>-9.81</v>
      </c>
      <c r="I142" s="4">
        <f t="shared" si="29"/>
        <v>0</v>
      </c>
      <c r="J142" s="4">
        <f t="shared" si="28"/>
        <v>0</v>
      </c>
      <c r="K142">
        <f t="shared" si="21"/>
        <v>0</v>
      </c>
      <c r="L142">
        <f t="shared" si="22"/>
        <v>-82.15993483778628</v>
      </c>
      <c r="M142">
        <f t="shared" si="23"/>
        <v>18267.667701548788</v>
      </c>
      <c r="N142">
        <f t="shared" si="24"/>
        <v>-121551.35419761106</v>
      </c>
      <c r="O142">
        <f t="shared" si="25"/>
        <v>18267.667701548788</v>
      </c>
      <c r="P142">
        <f t="shared" si="26"/>
        <v>-111826.22296011122</v>
      </c>
    </row>
    <row r="143" spans="2:16" ht="15">
      <c r="B143">
        <f t="shared" si="27"/>
        <v>6.699999999999984</v>
      </c>
      <c r="C143">
        <f>IF(Eingabe_Ausgabe!$B$13=1,Berechnung!C142,C142+G142*B143)</f>
        <v>41.00026417135857</v>
      </c>
      <c r="D143">
        <f>IF(Eingabe_Ausgabe!$B$13=1,Berechnung!D142+dt*g,D142+H142*B143)</f>
        <v>-298.25105279454874</v>
      </c>
      <c r="E143">
        <f>0.5*roh_luft*Eingabe_Ausgabe!$B$7*(C143*C143+D143*D143)</f>
        <v>6416424.2655769475</v>
      </c>
      <c r="F143">
        <f t="shared" si="20"/>
        <v>-1.434183621478644</v>
      </c>
      <c r="G143">
        <f>IF(Eingabe_Ausgabe!$B$13=1,0,-COS(F143)*E143/m)</f>
        <v>0</v>
      </c>
      <c r="H143">
        <f>IF(Eingabe_Ausgabe!$B$13=1,g,g-SIN(F143)*E143/m)</f>
        <v>-9.81</v>
      </c>
      <c r="I143" s="4">
        <f t="shared" si="29"/>
        <v>0</v>
      </c>
      <c r="J143" s="4">
        <f t="shared" si="28"/>
        <v>0</v>
      </c>
      <c r="K143">
        <f t="shared" si="21"/>
        <v>0</v>
      </c>
      <c r="L143">
        <f t="shared" si="22"/>
        <v>-82.17266855751431</v>
      </c>
      <c r="M143">
        <f t="shared" si="23"/>
        <v>18542.369471496888</v>
      </c>
      <c r="N143">
        <f t="shared" si="24"/>
        <v>-123549.63625133452</v>
      </c>
      <c r="O143">
        <f t="shared" si="25"/>
        <v>18542.369471496888</v>
      </c>
      <c r="P143">
        <f t="shared" si="26"/>
        <v>-113604.3195638347</v>
      </c>
    </row>
    <row r="144" spans="2:16" ht="15">
      <c r="B144">
        <f t="shared" si="27"/>
        <v>6.749999999999984</v>
      </c>
      <c r="C144">
        <f>IF(Eingabe_Ausgabe!$B$13=1,Berechnung!C143,C143+G143*B144)</f>
        <v>41.00026417135857</v>
      </c>
      <c r="D144">
        <f>IF(Eingabe_Ausgabe!$B$13=1,Berechnung!D143+dt*g,D143+H143*B144)</f>
        <v>-298.74155279454874</v>
      </c>
      <c r="E144">
        <f>0.5*roh_luft*Eingabe_Ausgabe!$B$7*(C144*C144+D144*D144)</f>
        <v>6437154.608028201</v>
      </c>
      <c r="F144">
        <f t="shared" si="20"/>
        <v>-1.4344051505243174</v>
      </c>
      <c r="G144">
        <f>IF(Eingabe_Ausgabe!$B$13=1,0,-COS(F144)*E144/m)</f>
        <v>0</v>
      </c>
      <c r="H144">
        <f>IF(Eingabe_Ausgabe!$B$13=1,g,g-SIN(F144)*E144/m)</f>
        <v>-9.81</v>
      </c>
      <c r="I144" s="4">
        <f t="shared" si="29"/>
        <v>0</v>
      </c>
      <c r="J144" s="4">
        <f t="shared" si="28"/>
        <v>0</v>
      </c>
      <c r="K144">
        <f t="shared" si="21"/>
        <v>0</v>
      </c>
      <c r="L144">
        <f t="shared" si="22"/>
        <v>-82.18536123687095</v>
      </c>
      <c r="M144">
        <f t="shared" si="23"/>
        <v>18819.121254653557</v>
      </c>
      <c r="N144">
        <f t="shared" si="24"/>
        <v>-125566.14173269772</v>
      </c>
      <c r="O144">
        <f t="shared" si="25"/>
        <v>18819.121254653557</v>
      </c>
      <c r="P144">
        <f t="shared" si="26"/>
        <v>-115397.34098269789</v>
      </c>
    </row>
    <row r="145" spans="2:16" ht="15">
      <c r="B145">
        <f t="shared" si="27"/>
        <v>6.799999999999984</v>
      </c>
      <c r="C145">
        <f>IF(Eingabe_Ausgabe!$B$13=1,Berechnung!C144,C144+G144*B145)</f>
        <v>41.00026417135857</v>
      </c>
      <c r="D145">
        <f>IF(Eingabe_Ausgabe!$B$13=1,Berechnung!D144+dt*g,D144+H144*B145)</f>
        <v>-299.23205279454874</v>
      </c>
      <c r="E145">
        <f>0.5*roh_luft*Eingabe_Ausgabe!$B$7*(C145*C145+D145*D145)</f>
        <v>6457919.015333449</v>
      </c>
      <c r="F145">
        <f t="shared" si="20"/>
        <v>-1.4346259667160415</v>
      </c>
      <c r="G145">
        <f>IF(Eingabe_Ausgabe!$B$13=1,0,-COS(F145)*E145/m)</f>
        <v>0</v>
      </c>
      <c r="H145">
        <f>IF(Eingabe_Ausgabe!$B$13=1,g,g-SIN(F145)*E145/m)</f>
        <v>-9.81</v>
      </c>
      <c r="I145" s="4">
        <f t="shared" si="29"/>
        <v>0</v>
      </c>
      <c r="J145" s="4">
        <f t="shared" si="28"/>
        <v>0</v>
      </c>
      <c r="K145">
        <f t="shared" si="21"/>
        <v>0</v>
      </c>
      <c r="L145">
        <f t="shared" si="22"/>
        <v>-82.1980130727049</v>
      </c>
      <c r="M145">
        <f t="shared" si="23"/>
        <v>19097.923051018795</v>
      </c>
      <c r="N145">
        <f t="shared" si="24"/>
        <v>-127600.91969170065</v>
      </c>
      <c r="O145">
        <f t="shared" si="25"/>
        <v>19097.923051018795</v>
      </c>
      <c r="P145">
        <f t="shared" si="26"/>
        <v>-117205.31174170082</v>
      </c>
    </row>
    <row r="146" spans="2:16" ht="15">
      <c r="B146">
        <f t="shared" si="27"/>
        <v>6.849999999999984</v>
      </c>
      <c r="C146">
        <f>IF(Eingabe_Ausgabe!$B$13=1,Berechnung!C145,C145+G145*B146)</f>
        <v>41.00026417135857</v>
      </c>
      <c r="D146">
        <f>IF(Eingabe_Ausgabe!$B$13=1,Berechnung!D145+dt*g,D145+H145*B146)</f>
        <v>-299.72255279454873</v>
      </c>
      <c r="E146">
        <f>0.5*roh_luft*Eingabe_Ausgabe!$B$7*(C146*C146+D146*D146)</f>
        <v>6478717.48749269</v>
      </c>
      <c r="F146">
        <f t="shared" si="20"/>
        <v>-1.434846073467677</v>
      </c>
      <c r="G146">
        <f>IF(Eingabe_Ausgabe!$B$13=1,0,-COS(F146)*E146/m)</f>
        <v>0</v>
      </c>
      <c r="H146">
        <f>IF(Eingabe_Ausgabe!$B$13=1,g,g-SIN(F146)*E146/m)</f>
        <v>-9.81</v>
      </c>
      <c r="I146" s="4">
        <f t="shared" si="29"/>
        <v>0</v>
      </c>
      <c r="J146" s="4">
        <f t="shared" si="28"/>
        <v>0</v>
      </c>
      <c r="K146">
        <f t="shared" si="21"/>
        <v>0</v>
      </c>
      <c r="L146">
        <f t="shared" si="22"/>
        <v>-82.21062426061593</v>
      </c>
      <c r="M146">
        <f t="shared" si="23"/>
        <v>19378.774860592603</v>
      </c>
      <c r="N146">
        <f t="shared" si="24"/>
        <v>-129654.0191783433</v>
      </c>
      <c r="O146">
        <f t="shared" si="25"/>
        <v>19378.774860592603</v>
      </c>
      <c r="P146">
        <f t="shared" si="26"/>
        <v>-119028.25636584348</v>
      </c>
    </row>
    <row r="147" spans="2:16" ht="15">
      <c r="B147">
        <f t="shared" si="27"/>
        <v>6.8999999999999835</v>
      </c>
      <c r="C147">
        <f>IF(Eingabe_Ausgabe!$B$13=1,Berechnung!C146,C146+G146*B147)</f>
        <v>41.00026417135857</v>
      </c>
      <c r="D147">
        <f>IF(Eingabe_Ausgabe!$B$13=1,Berechnung!D146+dt*g,D146+H146*B147)</f>
        <v>-300.21305279454873</v>
      </c>
      <c r="E147">
        <f>0.5*roh_luft*Eingabe_Ausgabe!$B$7*(C147*C147+D147*D147)</f>
        <v>6499550.024505924</v>
      </c>
      <c r="F147">
        <f t="shared" si="20"/>
        <v>-1.4350654741714581</v>
      </c>
      <c r="G147">
        <f>IF(Eingabe_Ausgabe!$B$13=1,0,-COS(F147)*E147/m)</f>
        <v>0</v>
      </c>
      <c r="H147">
        <f>IF(Eingabe_Ausgabe!$B$13=1,g,g-SIN(F147)*E147/m)</f>
        <v>-9.81</v>
      </c>
      <c r="I147" s="4">
        <f t="shared" si="29"/>
        <v>0</v>
      </c>
      <c r="J147" s="4">
        <f t="shared" si="28"/>
        <v>0</v>
      </c>
      <c r="K147">
        <f t="shared" si="21"/>
        <v>0</v>
      </c>
      <c r="L147">
        <f t="shared" si="22"/>
        <v>-82.2231949949648</v>
      </c>
      <c r="M147">
        <f t="shared" si="23"/>
        <v>19661.676683374975</v>
      </c>
      <c r="N147">
        <f t="shared" si="24"/>
        <v>-131725.48924262568</v>
      </c>
      <c r="O147">
        <f t="shared" si="25"/>
        <v>19661.676683374975</v>
      </c>
      <c r="P147">
        <f t="shared" si="26"/>
        <v>-120866.19938012586</v>
      </c>
    </row>
    <row r="148" spans="2:16" ht="15">
      <c r="B148">
        <f t="shared" si="27"/>
        <v>6.949999999999983</v>
      </c>
      <c r="C148">
        <f>IF(Eingabe_Ausgabe!$B$13=1,Berechnung!C147,C147+G147*B148)</f>
        <v>41.00026417135857</v>
      </c>
      <c r="D148">
        <f>IF(Eingabe_Ausgabe!$B$13=1,Berechnung!D147+dt*g,D147+H147*B148)</f>
        <v>-300.7035527945487</v>
      </c>
      <c r="E148">
        <f>0.5*roh_luft*Eingabe_Ausgabe!$B$7*(C148*C148+D148*D148)</f>
        <v>6520416.626373153</v>
      </c>
      <c r="F148">
        <f t="shared" si="20"/>
        <v>-1.4352841721981637</v>
      </c>
      <c r="G148">
        <f>IF(Eingabe_Ausgabe!$B$13=1,0,-COS(F148)*E148/m)</f>
        <v>0</v>
      </c>
      <c r="H148">
        <f>IF(Eingabe_Ausgabe!$B$13=1,g,g-SIN(F148)*E148/m)</f>
        <v>-9.81</v>
      </c>
      <c r="I148" s="4">
        <f t="shared" si="29"/>
        <v>0</v>
      </c>
      <c r="J148" s="4">
        <f t="shared" si="28"/>
        <v>0</v>
      </c>
      <c r="K148">
        <f t="shared" si="21"/>
        <v>0</v>
      </c>
      <c r="L148">
        <f t="shared" si="22"/>
        <v>-82.23572546888288</v>
      </c>
      <c r="M148">
        <f t="shared" si="23"/>
        <v>19946.628519365917</v>
      </c>
      <c r="N148">
        <f t="shared" si="24"/>
        <v>-133815.3789345478</v>
      </c>
      <c r="O148">
        <f t="shared" si="25"/>
        <v>19946.628519365917</v>
      </c>
      <c r="P148">
        <f t="shared" si="26"/>
        <v>-122719.16530954797</v>
      </c>
    </row>
    <row r="149" spans="2:16" ht="15">
      <c r="B149">
        <f t="shared" si="27"/>
        <v>6.999999999999983</v>
      </c>
      <c r="C149">
        <f>IF(Eingabe_Ausgabe!$B$13=1,Berechnung!C148,C148+G148*B149)</f>
        <v>41.00026417135857</v>
      </c>
      <c r="D149">
        <f>IF(Eingabe_Ausgabe!$B$13=1,Berechnung!D148+dt*g,D148+H148*B149)</f>
        <v>-301.1940527945487</v>
      </c>
      <c r="E149">
        <f>0.5*roh_luft*Eingabe_Ausgabe!$B$7*(C149*C149+D149*D149)</f>
        <v>6541317.293094376</v>
      </c>
      <c r="F149">
        <f t="shared" si="20"/>
        <v>-1.435502170897284</v>
      </c>
      <c r="G149">
        <f>IF(Eingabe_Ausgabe!$B$13=1,0,-COS(F149)*E149/m)</f>
        <v>0</v>
      </c>
      <c r="H149">
        <f>IF(Eingabe_Ausgabe!$B$13=1,g,g-SIN(F149)*E149/m)</f>
        <v>-9.81</v>
      </c>
      <c r="I149" s="4">
        <f t="shared" si="29"/>
        <v>0</v>
      </c>
      <c r="J149" s="4">
        <f t="shared" si="28"/>
        <v>0</v>
      </c>
      <c r="K149">
        <f t="shared" si="21"/>
        <v>0</v>
      </c>
      <c r="L149">
        <f t="shared" si="22"/>
        <v>-82.2482158742818</v>
      </c>
      <c r="M149">
        <f t="shared" si="23"/>
        <v>20233.630368565427</v>
      </c>
      <c r="N149">
        <f t="shared" si="24"/>
        <v>-135923.73730410964</v>
      </c>
      <c r="O149">
        <f t="shared" si="25"/>
        <v>20233.630368565427</v>
      </c>
      <c r="P149">
        <f t="shared" si="26"/>
        <v>-124587.17867910981</v>
      </c>
    </row>
    <row r="150" spans="2:16" ht="15">
      <c r="B150">
        <f t="shared" si="27"/>
        <v>7.049999999999983</v>
      </c>
      <c r="C150">
        <f>IF(Eingabe_Ausgabe!$B$13=1,Berechnung!C149,C149+G149*B150)</f>
        <v>41.00026417135857</v>
      </c>
      <c r="D150">
        <f>IF(Eingabe_Ausgabe!$B$13=1,Berechnung!D149+dt*g,D149+H149*B150)</f>
        <v>-301.6845527945487</v>
      </c>
      <c r="E150">
        <f>0.5*roh_luft*Eingabe_Ausgabe!$B$7*(C150*C150+D150*D150)</f>
        <v>6562252.02466959</v>
      </c>
      <c r="F150">
        <f t="shared" si="20"/>
        <v>-1.4357194735971879</v>
      </c>
      <c r="G150">
        <f>IF(Eingabe_Ausgabe!$B$13=1,0,-COS(F150)*E150/m)</f>
        <v>0</v>
      </c>
      <c r="H150">
        <f>IF(Eingabe_Ausgabe!$B$13=1,g,g-SIN(F150)*E150/m)</f>
        <v>-9.81</v>
      </c>
      <c r="I150" s="4">
        <f t="shared" si="29"/>
        <v>0</v>
      </c>
      <c r="J150" s="4">
        <f t="shared" si="28"/>
        <v>0</v>
      </c>
      <c r="K150">
        <f t="shared" si="21"/>
        <v>0</v>
      </c>
      <c r="L150">
        <f t="shared" si="22"/>
        <v>-82.26066640186309</v>
      </c>
      <c r="M150">
        <f t="shared" si="23"/>
        <v>20522.682230973503</v>
      </c>
      <c r="N150">
        <f t="shared" si="24"/>
        <v>-138050.61340131122</v>
      </c>
      <c r="O150">
        <f t="shared" si="25"/>
        <v>20522.682230973503</v>
      </c>
      <c r="P150">
        <f t="shared" si="26"/>
        <v>-126470.26401381138</v>
      </c>
    </row>
    <row r="151" spans="2:16" ht="15">
      <c r="B151">
        <f t="shared" si="27"/>
        <v>7.099999999999983</v>
      </c>
      <c r="C151">
        <f>IF(Eingabe_Ausgabe!$B$13=1,Berechnung!C150,C150+G150*B151)</f>
        <v>41.00026417135857</v>
      </c>
      <c r="D151">
        <f>IF(Eingabe_Ausgabe!$B$13=1,Berechnung!D150+dt*g,D150+H150*B151)</f>
        <v>-302.1750527945487</v>
      </c>
      <c r="E151">
        <f>0.5*roh_luft*Eingabe_Ausgabe!$B$7*(C151*C151+D151*D151)</f>
        <v>6583220.8210988</v>
      </c>
      <c r="F151">
        <f t="shared" si="20"/>
        <v>-1.4359360836052892</v>
      </c>
      <c r="G151">
        <f>IF(Eingabe_Ausgabe!$B$13=1,0,-COS(F151)*E151/m)</f>
        <v>0</v>
      </c>
      <c r="H151">
        <f>IF(Eingabe_Ausgabe!$B$13=1,g,g-SIN(F151)*E151/m)</f>
        <v>-9.81</v>
      </c>
      <c r="I151" s="4">
        <f t="shared" si="29"/>
        <v>0</v>
      </c>
      <c r="J151" s="4">
        <f t="shared" si="28"/>
        <v>0</v>
      </c>
      <c r="K151">
        <f t="shared" si="21"/>
        <v>0</v>
      </c>
      <c r="L151">
        <f t="shared" si="22"/>
        <v>-82.2730772411276</v>
      </c>
      <c r="M151">
        <f t="shared" si="23"/>
        <v>20813.78410659015</v>
      </c>
      <c r="N151">
        <f t="shared" si="24"/>
        <v>-140196.05627615252</v>
      </c>
      <c r="O151">
        <f t="shared" si="25"/>
        <v>20813.78410659015</v>
      </c>
      <c r="P151">
        <f t="shared" si="26"/>
        <v>-128368.44583865267</v>
      </c>
    </row>
    <row r="152" spans="2:16" ht="15">
      <c r="B152">
        <f t="shared" si="27"/>
        <v>7.149999999999983</v>
      </c>
      <c r="C152">
        <f>IF(Eingabe_Ausgabe!$B$13=1,Berechnung!C151,C151+G151*B152)</f>
        <v>41.00026417135857</v>
      </c>
      <c r="D152">
        <f>IF(Eingabe_Ausgabe!$B$13=1,Berechnung!D151+dt*g,D151+H151*B152)</f>
        <v>-302.6655527945487</v>
      </c>
      <c r="E152">
        <f>0.5*roh_luft*Eingabe_Ausgabe!$B$7*(C152*C152+D152*D152)</f>
        <v>6604223.682382003</v>
      </c>
      <c r="F152">
        <f t="shared" si="20"/>
        <v>-1.4361520042082088</v>
      </c>
      <c r="G152">
        <f>IF(Eingabe_Ausgabe!$B$13=1,0,-COS(F152)*E152/m)</f>
        <v>0</v>
      </c>
      <c r="H152">
        <f>IF(Eingabe_Ausgabe!$B$13=1,g,g-SIN(F152)*E152/m)</f>
        <v>-9.81</v>
      </c>
      <c r="I152" s="4">
        <f t="shared" si="29"/>
        <v>0</v>
      </c>
      <c r="J152" s="4">
        <f t="shared" si="28"/>
        <v>0</v>
      </c>
      <c r="K152">
        <f t="shared" si="21"/>
        <v>0</v>
      </c>
      <c r="L152">
        <f t="shared" si="22"/>
        <v>-82.28544858038481</v>
      </c>
      <c r="M152">
        <f t="shared" si="23"/>
        <v>21106.935995415362</v>
      </c>
      <c r="N152">
        <f t="shared" si="24"/>
        <v>-142360.11497863353</v>
      </c>
      <c r="O152">
        <f t="shared" si="25"/>
        <v>21106.935995415362</v>
      </c>
      <c r="P152">
        <f t="shared" si="26"/>
        <v>-130281.74867863368</v>
      </c>
    </row>
    <row r="153" spans="2:16" ht="15">
      <c r="B153">
        <f t="shared" si="27"/>
        <v>7.199999999999982</v>
      </c>
      <c r="C153">
        <f>IF(Eingabe_Ausgabe!$B$13=1,Berechnung!C152,C152+G152*B153)</f>
        <v>41.00026417135857</v>
      </c>
      <c r="D153">
        <f>IF(Eingabe_Ausgabe!$B$13=1,Berechnung!D152+dt*g,D152+H152*B153)</f>
        <v>-303.1560527945487</v>
      </c>
      <c r="E153">
        <f>0.5*roh_luft*Eingabe_Ausgabe!$B$7*(C153*C153+D153*D153)</f>
        <v>6625260.6085192</v>
      </c>
      <c r="F153">
        <f t="shared" si="20"/>
        <v>-1.4363672386719368</v>
      </c>
      <c r="G153">
        <f>IF(Eingabe_Ausgabe!$B$13=1,0,-COS(F153)*E153/m)</f>
        <v>0</v>
      </c>
      <c r="H153">
        <f>IF(Eingabe_Ausgabe!$B$13=1,g,g-SIN(F153)*E153/m)</f>
        <v>-9.81</v>
      </c>
      <c r="I153" s="4">
        <f t="shared" si="29"/>
        <v>0</v>
      </c>
      <c r="J153" s="4">
        <f t="shared" si="28"/>
        <v>0</v>
      </c>
      <c r="K153">
        <f t="shared" si="21"/>
        <v>0</v>
      </c>
      <c r="L153">
        <f t="shared" si="22"/>
        <v>-82.29778060676219</v>
      </c>
      <c r="M153">
        <f t="shared" si="23"/>
        <v>21402.13789744914</v>
      </c>
      <c r="N153">
        <f t="shared" si="24"/>
        <v>-144542.83855875427</v>
      </c>
      <c r="O153">
        <f t="shared" si="25"/>
        <v>21402.13789744914</v>
      </c>
      <c r="P153">
        <f t="shared" si="26"/>
        <v>-132210.19705875442</v>
      </c>
    </row>
    <row r="154" spans="2:16" ht="15">
      <c r="B154">
        <f t="shared" si="27"/>
        <v>7.249999999999982</v>
      </c>
      <c r="C154">
        <f>IF(Eingabe_Ausgabe!$B$13=1,Berechnung!C153,C153+G153*B154)</f>
        <v>41.00026417135857</v>
      </c>
      <c r="D154">
        <f>IF(Eingabe_Ausgabe!$B$13=1,Berechnung!D153+dt*g,D153+H153*B154)</f>
        <v>-303.6465527945487</v>
      </c>
      <c r="E154">
        <f>0.5*roh_luft*Eingabe_Ausgabe!$B$7*(C154*C154+D154*D154)</f>
        <v>6646331.59951039</v>
      </c>
      <c r="F154">
        <f t="shared" si="20"/>
        <v>-1.4365817902419946</v>
      </c>
      <c r="G154">
        <f>IF(Eingabe_Ausgabe!$B$13=1,0,-COS(F154)*E154/m)</f>
        <v>0</v>
      </c>
      <c r="H154">
        <f>IF(Eingabe_Ausgabe!$B$13=1,g,g-SIN(F154)*E154/m)</f>
        <v>-9.81</v>
      </c>
      <c r="I154" s="4">
        <f t="shared" si="29"/>
        <v>0</v>
      </c>
      <c r="J154" s="4">
        <f t="shared" si="28"/>
        <v>0</v>
      </c>
      <c r="K154">
        <f t="shared" si="21"/>
        <v>0</v>
      </c>
      <c r="L154">
        <f t="shared" si="22"/>
        <v>-82.31007350621441</v>
      </c>
      <c r="M154">
        <f t="shared" si="23"/>
        <v>21699.38981269149</v>
      </c>
      <c r="N154">
        <f t="shared" si="24"/>
        <v>-146744.27606651475</v>
      </c>
      <c r="O154">
        <f t="shared" si="25"/>
        <v>21699.38981269149</v>
      </c>
      <c r="P154">
        <f t="shared" si="26"/>
        <v>-134153.8155040149</v>
      </c>
    </row>
    <row r="155" spans="2:16" ht="15">
      <c r="B155">
        <f t="shared" si="27"/>
        <v>7.299999999999982</v>
      </c>
      <c r="C155">
        <f>IF(Eingabe_Ausgabe!$B$13=1,Berechnung!C154,C154+G154*B155)</f>
        <v>41.00026417135857</v>
      </c>
      <c r="D155">
        <f>IF(Eingabe_Ausgabe!$B$13=1,Berechnung!D154+dt*g,D154+H154*B155)</f>
        <v>-304.1370527945487</v>
      </c>
      <c r="E155">
        <f>0.5*roh_luft*Eingabe_Ausgabe!$B$7*(C155*C155+D155*D155)</f>
        <v>6667436.655355574</v>
      </c>
      <c r="F155">
        <f t="shared" si="20"/>
        <v>-1.4367956621435924</v>
      </c>
      <c r="G155">
        <f>IF(Eingabe_Ausgabe!$B$13=1,0,-COS(F155)*E155/m)</f>
        <v>0</v>
      </c>
      <c r="H155">
        <f>IF(Eingabe_Ausgabe!$B$13=1,g,g-SIN(F155)*E155/m)</f>
        <v>-9.81</v>
      </c>
      <c r="I155" s="4">
        <f t="shared" si="29"/>
        <v>0</v>
      </c>
      <c r="J155" s="4">
        <f t="shared" si="28"/>
        <v>0</v>
      </c>
      <c r="K155">
        <f t="shared" si="21"/>
        <v>0</v>
      </c>
      <c r="L155">
        <f t="shared" si="22"/>
        <v>-82.32232746353239</v>
      </c>
      <c r="M155">
        <f t="shared" si="23"/>
        <v>21998.691741142407</v>
      </c>
      <c r="N155">
        <f t="shared" si="24"/>
        <v>-148964.47655191494</v>
      </c>
      <c r="O155">
        <f t="shared" si="25"/>
        <v>21998.691741142407</v>
      </c>
      <c r="P155">
        <f t="shared" si="26"/>
        <v>-136112.6285394151</v>
      </c>
    </row>
    <row r="156" spans="2:16" ht="15">
      <c r="B156">
        <f t="shared" si="27"/>
        <v>7.349999999999982</v>
      </c>
      <c r="C156">
        <f>IF(Eingabe_Ausgabe!$B$13=1,Berechnung!C155,C155+G155*B156)</f>
        <v>41.00026417135857</v>
      </c>
      <c r="D156">
        <f>IF(Eingabe_Ausgabe!$B$13=1,Berechnung!D155+dt*g,D155+H155*B156)</f>
        <v>-304.6275527945487</v>
      </c>
      <c r="E156">
        <f>0.5*roh_luft*Eingabe_Ausgabe!$B$7*(C156*C156+D156*D156)</f>
        <v>6688575.776054751</v>
      </c>
      <c r="F156">
        <f t="shared" si="20"/>
        <v>-1.4370088575817874</v>
      </c>
      <c r="G156">
        <f>IF(Eingabe_Ausgabe!$B$13=1,0,-COS(F156)*E156/m)</f>
        <v>0</v>
      </c>
      <c r="H156">
        <f>IF(Eingabe_Ausgabe!$B$13=1,g,g-SIN(F156)*E156/m)</f>
        <v>-9.81</v>
      </c>
      <c r="I156" s="4">
        <f t="shared" si="29"/>
        <v>0</v>
      </c>
      <c r="J156" s="4">
        <f t="shared" si="28"/>
        <v>0</v>
      </c>
      <c r="K156">
        <f t="shared" si="21"/>
        <v>0</v>
      </c>
      <c r="L156">
        <f t="shared" si="22"/>
        <v>-82.3345426623524</v>
      </c>
      <c r="M156">
        <f t="shared" si="23"/>
        <v>22300.043682801894</v>
      </c>
      <c r="N156">
        <f t="shared" si="24"/>
        <v>-151203.48906495486</v>
      </c>
      <c r="O156">
        <f t="shared" si="25"/>
        <v>22300.043682801894</v>
      </c>
      <c r="P156">
        <f t="shared" si="26"/>
        <v>-138086.66068995505</v>
      </c>
    </row>
    <row r="157" spans="2:16" ht="15">
      <c r="B157">
        <f t="shared" si="27"/>
        <v>7.399999999999982</v>
      </c>
      <c r="C157">
        <f>IF(Eingabe_Ausgabe!$B$13=1,Berechnung!C156,C156+G156*B157)</f>
        <v>41.00026417135857</v>
      </c>
      <c r="D157">
        <f>IF(Eingabe_Ausgabe!$B$13=1,Berechnung!D156+dt*g,D156+H156*B157)</f>
        <v>-305.1180527945487</v>
      </c>
      <c r="E157">
        <f>0.5*roh_luft*Eingabe_Ausgabe!$B$7*(C157*C157+D157*D157)</f>
        <v>6709748.961607923</v>
      </c>
      <c r="F157">
        <f t="shared" si="20"/>
        <v>-1.43722137974164</v>
      </c>
      <c r="G157">
        <f>IF(Eingabe_Ausgabe!$B$13=1,0,-COS(F157)*E157/m)</f>
        <v>0</v>
      </c>
      <c r="H157">
        <f>IF(Eingabe_Ausgabe!$B$13=1,g,g-SIN(F157)*E157/m)</f>
        <v>-9.81</v>
      </c>
      <c r="I157" s="4">
        <f t="shared" si="29"/>
        <v>0</v>
      </c>
      <c r="J157" s="4">
        <f t="shared" si="28"/>
        <v>0</v>
      </c>
      <c r="K157">
        <f t="shared" si="21"/>
        <v>0</v>
      </c>
      <c r="L157">
        <f t="shared" si="22"/>
        <v>-82.34671928516497</v>
      </c>
      <c r="M157">
        <f t="shared" si="23"/>
        <v>22603.445637669945</v>
      </c>
      <c r="N157">
        <f t="shared" si="24"/>
        <v>-153461.36265563453</v>
      </c>
      <c r="O157">
        <f t="shared" si="25"/>
        <v>22603.445637669945</v>
      </c>
      <c r="P157">
        <f t="shared" si="26"/>
        <v>-140075.9364806347</v>
      </c>
    </row>
    <row r="158" spans="2:16" ht="15">
      <c r="B158">
        <f t="shared" si="27"/>
        <v>7.4499999999999815</v>
      </c>
      <c r="C158">
        <f>IF(Eingabe_Ausgabe!$B$13=1,Berechnung!C157,C157+G157*B158)</f>
        <v>41.00026417135857</v>
      </c>
      <c r="D158">
        <f>IF(Eingabe_Ausgabe!$B$13=1,Berechnung!D157+dt*g,D157+H157*B158)</f>
        <v>-305.6085527945487</v>
      </c>
      <c r="E158">
        <f>0.5*roh_luft*Eingabe_Ausgabe!$B$7*(C158*C158+D158*D158)</f>
        <v>6730956.212015088</v>
      </c>
      <c r="F158">
        <f t="shared" si="20"/>
        <v>-1.4374332317883691</v>
      </c>
      <c r="G158">
        <f>IF(Eingabe_Ausgabe!$B$13=1,0,-COS(F158)*E158/m)</f>
        <v>0</v>
      </c>
      <c r="H158">
        <f>IF(Eingabe_Ausgabe!$B$13=1,g,g-SIN(F158)*E158/m)</f>
        <v>-9.81</v>
      </c>
      <c r="I158" s="4">
        <f t="shared" si="29"/>
        <v>0</v>
      </c>
      <c r="J158" s="4">
        <f t="shared" si="28"/>
        <v>0</v>
      </c>
      <c r="K158">
        <f t="shared" si="21"/>
        <v>0</v>
      </c>
      <c r="L158">
        <f t="shared" si="22"/>
        <v>-82.35885751332376</v>
      </c>
      <c r="M158">
        <f t="shared" si="23"/>
        <v>22908.897605746566</v>
      </c>
      <c r="N158">
        <f t="shared" si="24"/>
        <v>-155738.1463739539</v>
      </c>
      <c r="O158">
        <f t="shared" si="25"/>
        <v>22908.897605746566</v>
      </c>
      <c r="P158">
        <f t="shared" si="26"/>
        <v>-142080.48043645406</v>
      </c>
    </row>
    <row r="159" spans="2:16" ht="15">
      <c r="B159">
        <f t="shared" si="27"/>
        <v>7.499999999999981</v>
      </c>
      <c r="C159">
        <f>IF(Eingabe_Ausgabe!$B$13=1,Berechnung!C158,C158+G158*B159)</f>
        <v>41.00026417135857</v>
      </c>
      <c r="D159">
        <f>IF(Eingabe_Ausgabe!$B$13=1,Berechnung!D158+dt*g,D158+H158*B159)</f>
        <v>-306.0990527945487</v>
      </c>
      <c r="E159">
        <f>0.5*roh_luft*Eingabe_Ausgabe!$B$7*(C159*C159+D159*D159)</f>
        <v>6752197.527276246</v>
      </c>
      <c r="F159">
        <f t="shared" si="20"/>
        <v>-1.437644416867504</v>
      </c>
      <c r="G159">
        <f>IF(Eingabe_Ausgabe!$B$13=1,0,-COS(F159)*E159/m)</f>
        <v>0</v>
      </c>
      <c r="H159">
        <f>IF(Eingabe_Ausgabe!$B$13=1,g,g-SIN(F159)*E159/m)</f>
        <v>-9.81</v>
      </c>
      <c r="I159" s="4">
        <f t="shared" si="29"/>
        <v>0</v>
      </c>
      <c r="J159" s="4">
        <f t="shared" si="28"/>
        <v>0</v>
      </c>
      <c r="K159">
        <f t="shared" si="21"/>
        <v>0</v>
      </c>
      <c r="L159">
        <f t="shared" si="22"/>
        <v>-82.37095752705432</v>
      </c>
      <c r="M159">
        <f t="shared" si="23"/>
        <v>23216.399587031756</v>
      </c>
      <c r="N159">
        <f t="shared" si="24"/>
        <v>-158033.88926991302</v>
      </c>
      <c r="O159">
        <f t="shared" si="25"/>
        <v>23216.399587031756</v>
      </c>
      <c r="P159">
        <f t="shared" si="26"/>
        <v>-144100.31708241318</v>
      </c>
    </row>
    <row r="160" spans="2:16" ht="15">
      <c r="B160">
        <f t="shared" si="27"/>
        <v>7.549999999999981</v>
      </c>
      <c r="C160">
        <f>IF(Eingabe_Ausgabe!$B$13=1,Berechnung!C159,C159+G159*B160)</f>
        <v>41.00026417135857</v>
      </c>
      <c r="D160">
        <f>IF(Eingabe_Ausgabe!$B$13=1,Berechnung!D159+dt*g,D159+H159*B160)</f>
        <v>-306.5895527945487</v>
      </c>
      <c r="E160">
        <f>0.5*roh_luft*Eingabe_Ausgabe!$B$7*(C160*C160+D160*D160)</f>
        <v>6773472.907391398</v>
      </c>
      <c r="F160">
        <f t="shared" si="20"/>
        <v>-1.4378549381050376</v>
      </c>
      <c r="G160">
        <f>IF(Eingabe_Ausgabe!$B$13=1,0,-COS(F160)*E160/m)</f>
        <v>0</v>
      </c>
      <c r="H160">
        <f>IF(Eingabe_Ausgabe!$B$13=1,g,g-SIN(F160)*E160/m)</f>
        <v>-9.81</v>
      </c>
      <c r="I160" s="4">
        <f t="shared" si="29"/>
        <v>0</v>
      </c>
      <c r="J160" s="4">
        <f t="shared" si="28"/>
        <v>0</v>
      </c>
      <c r="K160">
        <f t="shared" si="21"/>
        <v>0</v>
      </c>
      <c r="L160">
        <f t="shared" si="22"/>
        <v>-82.38301950546287</v>
      </c>
      <c r="M160">
        <f t="shared" si="23"/>
        <v>23525.95158152551</v>
      </c>
      <c r="N160">
        <f t="shared" si="24"/>
        <v>-160348.64039351186</v>
      </c>
      <c r="O160">
        <f t="shared" si="25"/>
        <v>23525.95158152551</v>
      </c>
      <c r="P160">
        <f t="shared" si="26"/>
        <v>-146135.47094351202</v>
      </c>
    </row>
    <row r="161" spans="2:16" ht="15">
      <c r="B161">
        <f t="shared" si="27"/>
        <v>7.599999999999981</v>
      </c>
      <c r="C161">
        <f>IF(Eingabe_Ausgabe!$B$13=1,Berechnung!C160,C160+G160*B161)</f>
        <v>41.00026417135857</v>
      </c>
      <c r="D161">
        <f>IF(Eingabe_Ausgabe!$B$13=1,Berechnung!D160+dt*g,D160+H160*B161)</f>
        <v>-307.0800527945487</v>
      </c>
      <c r="E161">
        <f>0.5*roh_luft*Eingabe_Ausgabe!$B$7*(C161*C161+D161*D161)</f>
        <v>6794782.352360544</v>
      </c>
      <c r="F161">
        <f t="shared" si="20"/>
        <v>-1.4380647986075765</v>
      </c>
      <c r="G161">
        <f>IF(Eingabe_Ausgabe!$B$13=1,0,-COS(F161)*E161/m)</f>
        <v>0</v>
      </c>
      <c r="H161">
        <f>IF(Eingabe_Ausgabe!$B$13=1,g,g-SIN(F161)*E161/m)</f>
        <v>-9.81</v>
      </c>
      <c r="I161" s="4">
        <f t="shared" si="29"/>
        <v>0</v>
      </c>
      <c r="J161" s="4">
        <f t="shared" si="28"/>
        <v>0</v>
      </c>
      <c r="K161">
        <f t="shared" si="21"/>
        <v>0</v>
      </c>
      <c r="L161">
        <f t="shared" si="22"/>
        <v>-82.39504362654483</v>
      </c>
      <c r="M161">
        <f t="shared" si="23"/>
        <v>23837.553589227835</v>
      </c>
      <c r="N161">
        <f t="shared" si="24"/>
        <v>-162682.4487947504</v>
      </c>
      <c r="O161">
        <f t="shared" si="25"/>
        <v>23837.553589227835</v>
      </c>
      <c r="P161">
        <f t="shared" si="26"/>
        <v>-148185.96654475058</v>
      </c>
    </row>
    <row r="162" spans="2:16" ht="15">
      <c r="B162">
        <f t="shared" si="27"/>
        <v>7.649999999999981</v>
      </c>
      <c r="C162">
        <f>IF(Eingabe_Ausgabe!$B$13=1,Berechnung!C161,C161+G161*B162)</f>
        <v>41.00026417135857</v>
      </c>
      <c r="D162">
        <f>IF(Eingabe_Ausgabe!$B$13=1,Berechnung!D161+dt*g,D161+H161*B162)</f>
        <v>-307.5705527945487</v>
      </c>
      <c r="E162">
        <f>0.5*roh_luft*Eingabe_Ausgabe!$B$7*(C162*C162+D162*D162)</f>
        <v>6816125.8621836845</v>
      </c>
      <c r="F162">
        <f t="shared" si="20"/>
        <v>-1.4382740014624902</v>
      </c>
      <c r="G162">
        <f>IF(Eingabe_Ausgabe!$B$13=1,0,-COS(F162)*E162/m)</f>
        <v>0</v>
      </c>
      <c r="H162">
        <f>IF(Eingabe_Ausgabe!$B$13=1,g,g-SIN(F162)*E162/m)</f>
        <v>-9.81</v>
      </c>
      <c r="I162" s="4">
        <f t="shared" si="29"/>
        <v>0</v>
      </c>
      <c r="J162" s="4">
        <f t="shared" si="28"/>
        <v>0</v>
      </c>
      <c r="K162">
        <f t="shared" si="21"/>
        <v>0</v>
      </c>
      <c r="L162">
        <f t="shared" si="22"/>
        <v>-82.40703006719347</v>
      </c>
      <c r="M162">
        <f t="shared" si="23"/>
        <v>24151.205610138728</v>
      </c>
      <c r="N162">
        <f t="shared" si="24"/>
        <v>-165035.3635236287</v>
      </c>
      <c r="O162">
        <f t="shared" si="25"/>
        <v>24151.205610138728</v>
      </c>
      <c r="P162">
        <f t="shared" si="26"/>
        <v>-150251.82841112887</v>
      </c>
    </row>
    <row r="163" spans="2:16" ht="15">
      <c r="B163">
        <f t="shared" si="27"/>
        <v>7.699999999999981</v>
      </c>
      <c r="C163">
        <f>IF(Eingabe_Ausgabe!$B$13=1,Berechnung!C162,C162+G162*B163)</f>
        <v>41.00026417135857</v>
      </c>
      <c r="D163">
        <f>IF(Eingabe_Ausgabe!$B$13=1,Berechnung!D162+dt*g,D162+H162*B163)</f>
        <v>-308.0610527945487</v>
      </c>
      <c r="E163">
        <f>0.5*roh_luft*Eingabe_Ausgabe!$B$7*(C163*C163+D163*D163)</f>
        <v>6837503.436860817</v>
      </c>
      <c r="F163">
        <f t="shared" si="20"/>
        <v>-1.4384825497380582</v>
      </c>
      <c r="G163">
        <f>IF(Eingabe_Ausgabe!$B$13=1,0,-COS(F163)*E163/m)</f>
        <v>0</v>
      </c>
      <c r="H163">
        <f>IF(Eingabe_Ausgabe!$B$13=1,g,g-SIN(F163)*E163/m)</f>
        <v>-9.81</v>
      </c>
      <c r="I163" s="4">
        <f t="shared" si="29"/>
        <v>0</v>
      </c>
      <c r="J163" s="4">
        <f t="shared" si="28"/>
        <v>0</v>
      </c>
      <c r="K163">
        <f t="shared" si="21"/>
        <v>0</v>
      </c>
      <c r="L163">
        <f t="shared" si="22"/>
        <v>-82.41897900320826</v>
      </c>
      <c r="M163">
        <f t="shared" si="23"/>
        <v>24466.907644258186</v>
      </c>
      <c r="N163">
        <f t="shared" si="24"/>
        <v>-167407.43363014673</v>
      </c>
      <c r="O163">
        <f t="shared" si="25"/>
        <v>24466.907644258186</v>
      </c>
      <c r="P163">
        <f t="shared" si="26"/>
        <v>-152333.08106764688</v>
      </c>
    </row>
    <row r="164" spans="2:16" ht="15">
      <c r="B164">
        <f t="shared" si="27"/>
        <v>7.7499999999999805</v>
      </c>
      <c r="C164">
        <f>IF(Eingabe_Ausgabe!$B$13=1,Berechnung!C163,C163+G163*B164)</f>
        <v>41.00026417135857</v>
      </c>
      <c r="D164">
        <f>IF(Eingabe_Ausgabe!$B$13=1,Berechnung!D163+dt*g,D163+H163*B164)</f>
        <v>-308.5515527945487</v>
      </c>
      <c r="E164">
        <f>0.5*roh_luft*Eingabe_Ausgabe!$B$7*(C164*C164+D164*D164)</f>
        <v>6858915.076391944</v>
      </c>
      <c r="F164">
        <f t="shared" si="20"/>
        <v>-1.4386904464836172</v>
      </c>
      <c r="G164">
        <f>IF(Eingabe_Ausgabe!$B$13=1,0,-COS(F164)*E164/m)</f>
        <v>0</v>
      </c>
      <c r="H164">
        <f>IF(Eingabe_Ausgabe!$B$13=1,g,g-SIN(F164)*E164/m)</f>
        <v>-9.81</v>
      </c>
      <c r="I164" s="4">
        <f t="shared" si="29"/>
        <v>0</v>
      </c>
      <c r="J164" s="4">
        <f t="shared" si="28"/>
        <v>0</v>
      </c>
      <c r="K164">
        <f t="shared" si="21"/>
        <v>0</v>
      </c>
      <c r="L164">
        <f t="shared" si="22"/>
        <v>-82.43089060930329</v>
      </c>
      <c r="M164">
        <f t="shared" si="23"/>
        <v>24784.659691586214</v>
      </c>
      <c r="N164">
        <f t="shared" si="24"/>
        <v>-169798.70816430447</v>
      </c>
      <c r="O164">
        <f t="shared" si="25"/>
        <v>24784.659691586214</v>
      </c>
      <c r="P164">
        <f t="shared" si="26"/>
        <v>-154429.74903930465</v>
      </c>
    </row>
    <row r="165" spans="2:16" ht="15">
      <c r="B165">
        <f t="shared" si="27"/>
        <v>7.79999999999998</v>
      </c>
      <c r="C165">
        <f>IF(Eingabe_Ausgabe!$B$13=1,Berechnung!C164,C164+G164*B165)</f>
        <v>41.00026417135857</v>
      </c>
      <c r="D165">
        <f>IF(Eingabe_Ausgabe!$B$13=1,Berechnung!D164+dt*g,D164+H164*B165)</f>
        <v>-309.0420527945487</v>
      </c>
      <c r="E165">
        <f>0.5*roh_luft*Eingabe_Ausgabe!$B$7*(C165*C165+D165*D165)</f>
        <v>6880360.780777064</v>
      </c>
      <c r="F165">
        <f t="shared" si="20"/>
        <v>-1.438897694729706</v>
      </c>
      <c r="G165">
        <f>IF(Eingabe_Ausgabe!$B$13=1,0,-COS(F165)*E165/m)</f>
        <v>0</v>
      </c>
      <c r="H165">
        <f>IF(Eingabe_Ausgabe!$B$13=1,g,g-SIN(F165)*E165/m)</f>
        <v>-9.81</v>
      </c>
      <c r="I165" s="4">
        <f t="shared" si="29"/>
        <v>0</v>
      </c>
      <c r="J165" s="4">
        <f t="shared" si="28"/>
        <v>0</v>
      </c>
      <c r="K165">
        <f t="shared" si="21"/>
        <v>0</v>
      </c>
      <c r="L165">
        <f t="shared" si="22"/>
        <v>-82.44276505911567</v>
      </c>
      <c r="M165">
        <f t="shared" si="23"/>
        <v>25104.46175212281</v>
      </c>
      <c r="N165">
        <f t="shared" si="24"/>
        <v>-172209.23617610193</v>
      </c>
      <c r="O165">
        <f t="shared" si="25"/>
        <v>25104.46175212281</v>
      </c>
      <c r="P165">
        <f t="shared" si="26"/>
        <v>-156541.85685110211</v>
      </c>
    </row>
    <row r="166" spans="2:16" ht="15">
      <c r="B166">
        <f t="shared" si="27"/>
        <v>7.84999999999998</v>
      </c>
      <c r="C166">
        <f>IF(Eingabe_Ausgabe!$B$13=1,Berechnung!C165,C165+G165*B166)</f>
        <v>41.00026417135857</v>
      </c>
      <c r="D166">
        <f>IF(Eingabe_Ausgabe!$B$13=1,Berechnung!D165+dt*g,D165+H165*B166)</f>
        <v>-309.5325527945487</v>
      </c>
      <c r="E166">
        <f>0.5*roh_luft*Eingabe_Ausgabe!$B$7*(C166*C166+D166*D166)</f>
        <v>6901840.550016178</v>
      </c>
      <c r="F166">
        <f t="shared" si="20"/>
        <v>-1.4391042974882093</v>
      </c>
      <c r="G166">
        <f>IF(Eingabe_Ausgabe!$B$13=1,0,-COS(F166)*E166/m)</f>
        <v>0</v>
      </c>
      <c r="H166">
        <f>IF(Eingabe_Ausgabe!$B$13=1,g,g-SIN(F166)*E166/m)</f>
        <v>-9.81</v>
      </c>
      <c r="I166" s="4">
        <f t="shared" si="29"/>
        <v>0</v>
      </c>
      <c r="J166" s="4">
        <f t="shared" si="28"/>
        <v>0</v>
      </c>
      <c r="K166">
        <f t="shared" si="21"/>
        <v>0</v>
      </c>
      <c r="L166">
        <f t="shared" si="22"/>
        <v>-82.45460252521367</v>
      </c>
      <c r="M166">
        <f t="shared" si="23"/>
        <v>25426.313825867976</v>
      </c>
      <c r="N166">
        <f t="shared" si="24"/>
        <v>-174639.06671553914</v>
      </c>
      <c r="O166">
        <f t="shared" si="25"/>
        <v>25426.313825867976</v>
      </c>
      <c r="P166">
        <f t="shared" si="26"/>
        <v>-158669.4290280393</v>
      </c>
    </row>
    <row r="167" spans="2:16" ht="15">
      <c r="B167">
        <f t="shared" si="27"/>
        <v>7.89999999999998</v>
      </c>
      <c r="C167">
        <f>IF(Eingabe_Ausgabe!$B$13=1,Berechnung!C166,C166+G166*B167)</f>
        <v>41.00026417135857</v>
      </c>
      <c r="D167">
        <f>IF(Eingabe_Ausgabe!$B$13=1,Berechnung!D166+dt*g,D166+H166*B167)</f>
        <v>-310.0230527945487</v>
      </c>
      <c r="E167">
        <f>0.5*roh_luft*Eingabe_Ausgabe!$B$7*(C167*C167+D167*D167)</f>
        <v>6923354.384109286</v>
      </c>
      <c r="F167">
        <f t="shared" si="20"/>
        <v>-1.4393102577524997</v>
      </c>
      <c r="G167">
        <f>IF(Eingabe_Ausgabe!$B$13=1,0,-COS(F167)*E167/m)</f>
        <v>0</v>
      </c>
      <c r="H167">
        <f>IF(Eingabe_Ausgabe!$B$13=1,g,g-SIN(F167)*E167/m)</f>
        <v>-9.81</v>
      </c>
      <c r="I167" s="4">
        <f t="shared" si="29"/>
        <v>0</v>
      </c>
      <c r="J167" s="4">
        <f t="shared" si="28"/>
        <v>0</v>
      </c>
      <c r="K167">
        <f t="shared" si="21"/>
        <v>0</v>
      </c>
      <c r="L167">
        <f t="shared" si="22"/>
        <v>-82.4664031791049</v>
      </c>
      <c r="M167">
        <f t="shared" si="23"/>
        <v>25750.215912821706</v>
      </c>
      <c r="N167">
        <f t="shared" si="24"/>
        <v>-177088.24883261608</v>
      </c>
      <c r="O167">
        <f t="shared" si="25"/>
        <v>25750.215912821706</v>
      </c>
      <c r="P167">
        <f t="shared" si="26"/>
        <v>-160812.49009511623</v>
      </c>
    </row>
    <row r="168" spans="2:16" ht="15">
      <c r="B168">
        <f t="shared" si="27"/>
        <v>7.94999999999998</v>
      </c>
      <c r="C168">
        <f>IF(Eingabe_Ausgabe!$B$13=1,Berechnung!C167,C167+G167*B168)</f>
        <v>41.00026417135857</v>
      </c>
      <c r="D168">
        <f>IF(Eingabe_Ausgabe!$B$13=1,Berechnung!D167+dt*g,D167+H167*B168)</f>
        <v>-310.5135527945487</v>
      </c>
      <c r="E168">
        <f>0.5*roh_luft*Eingabe_Ausgabe!$B$7*(C168*C168+D168*D168)</f>
        <v>6944902.283056387</v>
      </c>
      <c r="F168">
        <f t="shared" si="20"/>
        <v>-1.439515578497579</v>
      </c>
      <c r="G168">
        <f>IF(Eingabe_Ausgabe!$B$13=1,0,-COS(F168)*E168/m)</f>
        <v>0</v>
      </c>
      <c r="H168">
        <f>IF(Eingabe_Ausgabe!$B$13=1,g,g-SIN(F168)*E168/m)</f>
        <v>-9.81</v>
      </c>
      <c r="I168" s="4">
        <f t="shared" si="29"/>
        <v>0</v>
      </c>
      <c r="J168" s="4">
        <f t="shared" si="28"/>
        <v>0</v>
      </c>
      <c r="K168">
        <f t="shared" si="21"/>
        <v>0</v>
      </c>
      <c r="L168">
        <f t="shared" si="22"/>
        <v>-82.47816719124444</v>
      </c>
      <c r="M168">
        <f t="shared" si="23"/>
        <v>26076.168012984006</v>
      </c>
      <c r="N168">
        <f t="shared" si="24"/>
        <v>-179556.83157733275</v>
      </c>
      <c r="O168">
        <f t="shared" si="25"/>
        <v>26076.168012984006</v>
      </c>
      <c r="P168">
        <f t="shared" si="26"/>
        <v>-162971.06457733287</v>
      </c>
    </row>
    <row r="169" spans="2:16" ht="15">
      <c r="B169">
        <f t="shared" si="27"/>
        <v>7.99999999999998</v>
      </c>
      <c r="C169">
        <f>IF(Eingabe_Ausgabe!$B$13=1,Berechnung!C168,C168+G168*B169)</f>
        <v>41.00026417135857</v>
      </c>
      <c r="D169">
        <f>IF(Eingabe_Ausgabe!$B$13=1,Berechnung!D168+dt*g,D168+H168*B169)</f>
        <v>-311.00405279454867</v>
      </c>
      <c r="E169">
        <f>0.5*roh_luft*Eingabe_Ausgabe!$B$7*(C169*C169+D169*D169)</f>
        <v>6966484.246857482</v>
      </c>
      <c r="F169">
        <f t="shared" si="20"/>
        <v>-1.4397202626802188</v>
      </c>
      <c r="G169">
        <f>IF(Eingabe_Ausgabe!$B$13=1,0,-COS(F169)*E169/m)</f>
        <v>0</v>
      </c>
      <c r="H169">
        <f>IF(Eingabe_Ausgabe!$B$13=1,g,g-SIN(F169)*E169/m)</f>
        <v>-9.81</v>
      </c>
      <c r="I169" s="4">
        <f t="shared" si="29"/>
        <v>0</v>
      </c>
      <c r="J169" s="4">
        <f t="shared" si="28"/>
        <v>0</v>
      </c>
      <c r="K169">
        <f t="shared" si="21"/>
        <v>0</v>
      </c>
      <c r="L169">
        <f t="shared" si="22"/>
        <v>-82.48989473104278</v>
      </c>
      <c r="M169">
        <f t="shared" si="23"/>
        <v>26404.170126354875</v>
      </c>
      <c r="N169">
        <f t="shared" si="24"/>
        <v>-182044.86399968914</v>
      </c>
      <c r="O169">
        <f t="shared" si="25"/>
        <v>26404.170126354875</v>
      </c>
      <c r="P169">
        <f t="shared" si="26"/>
        <v>-165145.17699968928</v>
      </c>
    </row>
    <row r="170" spans="2:16" ht="15">
      <c r="B170">
        <f t="shared" si="27"/>
        <v>8.04999999999998</v>
      </c>
      <c r="C170">
        <f>IF(Eingabe_Ausgabe!$B$13=1,Berechnung!C169,C169+G169*B170)</f>
        <v>41.00026417135857</v>
      </c>
      <c r="D170">
        <f>IF(Eingabe_Ausgabe!$B$13=1,Berechnung!D169+dt*g,D169+H169*B170)</f>
        <v>-311.49455279454867</v>
      </c>
      <c r="E170">
        <f>0.5*roh_luft*Eingabe_Ausgabe!$B$7*(C170*C170+D170*D170)</f>
        <v>6988100.2755125705</v>
      </c>
      <c r="F170">
        <f t="shared" si="20"/>
        <v>-1.4399243132390978</v>
      </c>
      <c r="G170">
        <f>IF(Eingabe_Ausgabe!$B$13=1,0,-COS(F170)*E170/m)</f>
        <v>0</v>
      </c>
      <c r="H170">
        <f>IF(Eingabe_Ausgabe!$B$13=1,g,g-SIN(F170)*E170/m)</f>
        <v>-9.81</v>
      </c>
      <c r="I170" s="4">
        <f t="shared" si="29"/>
        <v>0</v>
      </c>
      <c r="J170" s="4">
        <f t="shared" si="28"/>
        <v>0</v>
      </c>
      <c r="K170">
        <f t="shared" si="21"/>
        <v>0</v>
      </c>
      <c r="L170">
        <f t="shared" si="22"/>
        <v>-82.50158596687383</v>
      </c>
      <c r="M170">
        <f t="shared" si="23"/>
        <v>26734.22225293431</v>
      </c>
      <c r="N170">
        <f t="shared" si="24"/>
        <v>-184552.39514968527</v>
      </c>
      <c r="O170">
        <f t="shared" si="25"/>
        <v>26734.22225293431</v>
      </c>
      <c r="P170">
        <f t="shared" si="26"/>
        <v>-167334.8518871854</v>
      </c>
    </row>
    <row r="171" spans="2:16" ht="15">
      <c r="B171">
        <f t="shared" si="27"/>
        <v>8.09999999999998</v>
      </c>
      <c r="C171">
        <f>IF(Eingabe_Ausgabe!$B$13=1,Berechnung!C170,C170+G170*B171)</f>
        <v>41.00026417135857</v>
      </c>
      <c r="D171">
        <f>IF(Eingabe_Ausgabe!$B$13=1,Berechnung!D170+dt*g,D170+H170*B171)</f>
        <v>-311.98505279454866</v>
      </c>
      <c r="E171">
        <f>0.5*roh_luft*Eingabe_Ausgabe!$B$7*(C171*C171+D171*D171)</f>
        <v>7009750.369021653</v>
      </c>
      <c r="F171">
        <f t="shared" si="20"/>
        <v>-1.4401277330949402</v>
      </c>
      <c r="G171">
        <f>IF(Eingabe_Ausgabe!$B$13=1,0,-COS(F171)*E171/m)</f>
        <v>0</v>
      </c>
      <c r="H171">
        <f>IF(Eingabe_Ausgabe!$B$13=1,g,g-SIN(F171)*E171/m)</f>
        <v>-9.81</v>
      </c>
      <c r="I171" s="4">
        <f t="shared" si="29"/>
        <v>0</v>
      </c>
      <c r="J171" s="4">
        <f t="shared" si="28"/>
        <v>0</v>
      </c>
      <c r="K171">
        <f t="shared" si="21"/>
        <v>0</v>
      </c>
      <c r="L171">
        <f t="shared" si="22"/>
        <v>-82.51324106608277</v>
      </c>
      <c r="M171">
        <f t="shared" si="23"/>
        <v>27066.324392722312</v>
      </c>
      <c r="N171">
        <f t="shared" si="24"/>
        <v>-187079.4740773211</v>
      </c>
      <c r="O171">
        <f t="shared" si="25"/>
        <v>27066.324392722312</v>
      </c>
      <c r="P171">
        <f t="shared" si="26"/>
        <v>-169540.11376482123</v>
      </c>
    </row>
    <row r="172" spans="2:16" ht="15">
      <c r="B172">
        <f t="shared" si="27"/>
        <v>8.14999999999998</v>
      </c>
      <c r="C172">
        <f>IF(Eingabe_Ausgabe!$B$13=1,Berechnung!C171,C171+G171*B172)</f>
        <v>41.00026417135857</v>
      </c>
      <c r="D172">
        <f>IF(Eingabe_Ausgabe!$B$13=1,Berechnung!D171+dt*g,D171+H171*B172)</f>
        <v>-312.47555279454866</v>
      </c>
      <c r="E172">
        <f>0.5*roh_luft*Eingabe_Ausgabe!$B$7*(C172*C172+D172*D172)</f>
        <v>7031434.527384729</v>
      </c>
      <c r="F172">
        <f t="shared" si="20"/>
        <v>-1.4403305251506515</v>
      </c>
      <c r="G172">
        <f>IF(Eingabe_Ausgabe!$B$13=1,0,-COS(F172)*E172/m)</f>
        <v>0</v>
      </c>
      <c r="H172">
        <f>IF(Eingabe_Ausgabe!$B$13=1,g,g-SIN(F172)*E172/m)</f>
        <v>-9.81</v>
      </c>
      <c r="I172" s="4">
        <f t="shared" si="29"/>
        <v>0</v>
      </c>
      <c r="J172" s="4">
        <f t="shared" si="28"/>
        <v>0</v>
      </c>
      <c r="K172">
        <f t="shared" si="21"/>
        <v>0</v>
      </c>
      <c r="L172">
        <f t="shared" si="22"/>
        <v>-82.5248601949938</v>
      </c>
      <c r="M172">
        <f t="shared" si="23"/>
        <v>27400.476545718884</v>
      </c>
      <c r="N172">
        <f t="shared" si="24"/>
        <v>-189626.14983259665</v>
      </c>
      <c r="O172">
        <f t="shared" si="25"/>
        <v>27400.476545718884</v>
      </c>
      <c r="P172">
        <f t="shared" si="26"/>
        <v>-171760.9871575968</v>
      </c>
    </row>
    <row r="173" spans="2:16" ht="15">
      <c r="B173">
        <f t="shared" si="27"/>
        <v>8.199999999999982</v>
      </c>
      <c r="C173">
        <f>IF(Eingabe_Ausgabe!$B$13=1,Berechnung!C172,C172+G172*B173)</f>
        <v>41.00026417135857</v>
      </c>
      <c r="D173">
        <f>IF(Eingabe_Ausgabe!$B$13=1,Berechnung!D172+dt*g,D172+H172*B173)</f>
        <v>-312.96605279454866</v>
      </c>
      <c r="E173">
        <f>0.5*roh_luft*Eingabe_Ausgabe!$B$7*(C173*C173+D173*D173)</f>
        <v>7053152.750601798</v>
      </c>
      <c r="F173">
        <f t="shared" si="20"/>
        <v>-1.4405326922914532</v>
      </c>
      <c r="G173">
        <f>IF(Eingabe_Ausgabe!$B$13=1,0,-COS(F173)*E173/m)</f>
        <v>0</v>
      </c>
      <c r="H173">
        <f>IF(Eingabe_Ausgabe!$B$13=1,g,g-SIN(F173)*E173/m)</f>
        <v>-9.81</v>
      </c>
      <c r="I173" s="4">
        <f t="shared" si="29"/>
        <v>0</v>
      </c>
      <c r="J173" s="4">
        <f t="shared" si="28"/>
        <v>0</v>
      </c>
      <c r="K173">
        <f t="shared" si="21"/>
        <v>0</v>
      </c>
      <c r="L173">
        <f t="shared" si="22"/>
        <v>-82.53644351891796</v>
      </c>
      <c r="M173">
        <f t="shared" si="23"/>
        <v>27736.678711924025</v>
      </c>
      <c r="N173">
        <f t="shared" si="24"/>
        <v>-192192.47146551195</v>
      </c>
      <c r="O173">
        <f t="shared" si="25"/>
        <v>27736.678711924025</v>
      </c>
      <c r="P173">
        <f t="shared" si="26"/>
        <v>-173997.49659051208</v>
      </c>
    </row>
    <row r="174" spans="2:16" ht="15">
      <c r="B174">
        <f t="shared" si="27"/>
        <v>8.249999999999982</v>
      </c>
      <c r="C174">
        <f>IF(Eingabe_Ausgabe!$B$13=1,Berechnung!C173,C173+G173*B174)</f>
        <v>41.00026417135857</v>
      </c>
      <c r="D174">
        <f>IF(Eingabe_Ausgabe!$B$13=1,Berechnung!D173+dt*g,D173+H173*B174)</f>
        <v>-313.45655279454866</v>
      </c>
      <c r="E174">
        <f>0.5*roh_luft*Eingabe_Ausgabe!$B$7*(C174*C174+D174*D174)</f>
        <v>7074905.038672863</v>
      </c>
      <c r="F174">
        <f t="shared" si="20"/>
        <v>-1.4407342373850163</v>
      </c>
      <c r="G174">
        <f>IF(Eingabe_Ausgabe!$B$13=1,0,-COS(F174)*E174/m)</f>
        <v>0</v>
      </c>
      <c r="H174">
        <f>IF(Eingabe_Ausgabe!$B$13=1,g,g-SIN(F174)*E174/m)</f>
        <v>-9.81</v>
      </c>
      <c r="I174" s="4">
        <f t="shared" si="29"/>
        <v>0</v>
      </c>
      <c r="J174" s="4">
        <f t="shared" si="28"/>
        <v>0</v>
      </c>
      <c r="K174">
        <f t="shared" si="21"/>
        <v>0</v>
      </c>
      <c r="L174">
        <f t="shared" si="22"/>
        <v>-82.5479912021607</v>
      </c>
      <c r="M174">
        <f t="shared" si="23"/>
        <v>28074.93089133773</v>
      </c>
      <c r="N174">
        <f t="shared" si="24"/>
        <v>-194778.48802606697</v>
      </c>
      <c r="O174">
        <f t="shared" si="25"/>
        <v>28074.93089133773</v>
      </c>
      <c r="P174">
        <f t="shared" si="26"/>
        <v>-176249.6665885671</v>
      </c>
    </row>
    <row r="175" spans="2:16" ht="15">
      <c r="B175">
        <f t="shared" si="27"/>
        <v>8.299999999999983</v>
      </c>
      <c r="C175">
        <f>IF(Eingabe_Ausgabe!$B$13=1,Berechnung!C174,C174+G174*B175)</f>
        <v>41.00026417135857</v>
      </c>
      <c r="D175">
        <f>IF(Eingabe_Ausgabe!$B$13=1,Berechnung!D174+dt*g,D174+H174*B175)</f>
        <v>-313.94705279454865</v>
      </c>
      <c r="E175">
        <f>0.5*roh_luft*Eingabe_Ausgabe!$B$7*(C175*C175+D175*D175)</f>
        <v>7096691.391597918</v>
      </c>
      <c r="F175">
        <f t="shared" si="20"/>
        <v>-1.4409351632815943</v>
      </c>
      <c r="G175">
        <f>IF(Eingabe_Ausgabe!$B$13=1,0,-COS(F175)*E175/m)</f>
        <v>0</v>
      </c>
      <c r="H175">
        <f>IF(Eingabe_Ausgabe!$B$13=1,g,g-SIN(F175)*E175/m)</f>
        <v>-9.81</v>
      </c>
      <c r="I175" s="4">
        <f t="shared" si="29"/>
        <v>0</v>
      </c>
      <c r="J175" s="4">
        <f t="shared" si="28"/>
        <v>0</v>
      </c>
      <c r="K175">
        <f t="shared" si="21"/>
        <v>0</v>
      </c>
      <c r="L175">
        <f t="shared" si="22"/>
        <v>-82.5595034080295</v>
      </c>
      <c r="M175">
        <f t="shared" si="23"/>
        <v>28415.233083960007</v>
      </c>
      <c r="N175">
        <f t="shared" si="24"/>
        <v>-197384.2485642617</v>
      </c>
      <c r="O175">
        <f t="shared" si="25"/>
        <v>28415.233083960007</v>
      </c>
      <c r="P175">
        <f t="shared" si="26"/>
        <v>-178517.52167676185</v>
      </c>
    </row>
    <row r="176" spans="2:16" ht="15">
      <c r="B176">
        <f t="shared" si="27"/>
        <v>8.349999999999984</v>
      </c>
      <c r="C176">
        <f>IF(Eingabe_Ausgabe!$B$13=1,Berechnung!C175,C175+G175*B176)</f>
        <v>41.00026417135857</v>
      </c>
      <c r="D176">
        <f>IF(Eingabe_Ausgabe!$B$13=1,Berechnung!D175+dt*g,D175+H175*B176)</f>
        <v>-314.43755279454865</v>
      </c>
      <c r="E176">
        <f>0.5*roh_luft*Eingabe_Ausgabe!$B$7*(C176*C176+D176*D176)</f>
        <v>7118511.809376969</v>
      </c>
      <c r="F176">
        <f t="shared" si="20"/>
        <v>-1.4411354728141543</v>
      </c>
      <c r="G176">
        <f>IF(Eingabe_Ausgabe!$B$13=1,0,-COS(F176)*E176/m)</f>
        <v>0</v>
      </c>
      <c r="H176">
        <f>IF(Eingabe_Ausgabe!$B$13=1,g,g-SIN(F176)*E176/m)</f>
        <v>-9.81</v>
      </c>
      <c r="I176" s="4">
        <f t="shared" si="29"/>
        <v>0</v>
      </c>
      <c r="J176" s="4">
        <f t="shared" si="28"/>
        <v>0</v>
      </c>
      <c r="K176">
        <f t="shared" si="21"/>
        <v>0</v>
      </c>
      <c r="L176">
        <f t="shared" si="22"/>
        <v>-82.57098029884143</v>
      </c>
      <c r="M176">
        <f t="shared" si="23"/>
        <v>28757.58528979085</v>
      </c>
      <c r="N176">
        <f t="shared" si="24"/>
        <v>-200009.80213009618</v>
      </c>
      <c r="O176">
        <f t="shared" si="25"/>
        <v>28757.58528979085</v>
      </c>
      <c r="P176">
        <f t="shared" si="26"/>
        <v>-180801.08638009633</v>
      </c>
    </row>
    <row r="177" spans="2:16" ht="15">
      <c r="B177">
        <f t="shared" si="27"/>
        <v>8.399999999999984</v>
      </c>
      <c r="C177">
        <f>IF(Eingabe_Ausgabe!$B$13=1,Berechnung!C176,C176+G176*B177)</f>
        <v>41.00026417135857</v>
      </c>
      <c r="D177">
        <f>IF(Eingabe_Ausgabe!$B$13=1,Berechnung!D176+dt*g,D176+H176*B177)</f>
        <v>-314.92805279454865</v>
      </c>
      <c r="E177">
        <f>0.5*roh_luft*Eingabe_Ausgabe!$B$7*(C177*C177+D177*D177)</f>
        <v>7140366.292010013</v>
      </c>
      <c r="F177">
        <f t="shared" si="20"/>
        <v>-1.4413351687985063</v>
      </c>
      <c r="G177">
        <f>IF(Eingabe_Ausgabe!$B$13=1,0,-COS(F177)*E177/m)</f>
        <v>0</v>
      </c>
      <c r="H177">
        <f>IF(Eingabe_Ausgabe!$B$13=1,g,g-SIN(F177)*E177/m)</f>
        <v>-9.81</v>
      </c>
      <c r="I177" s="4">
        <f t="shared" si="29"/>
        <v>0</v>
      </c>
      <c r="J177" s="4">
        <f t="shared" si="28"/>
        <v>0</v>
      </c>
      <c r="K177">
        <f t="shared" si="21"/>
        <v>0</v>
      </c>
      <c r="L177">
        <f t="shared" si="22"/>
        <v>-82.5824220359305</v>
      </c>
      <c r="M177">
        <f t="shared" si="23"/>
        <v>29101.98750883026</v>
      </c>
      <c r="N177">
        <f t="shared" si="24"/>
        <v>-202655.1977735704</v>
      </c>
      <c r="O177">
        <f t="shared" si="25"/>
        <v>29101.98750883026</v>
      </c>
      <c r="P177">
        <f t="shared" si="26"/>
        <v>-183100.38522357054</v>
      </c>
    </row>
    <row r="178" spans="2:16" ht="15">
      <c r="B178">
        <f t="shared" si="27"/>
        <v>8.449999999999985</v>
      </c>
      <c r="C178">
        <f>IF(Eingabe_Ausgabe!$B$13=1,Berechnung!C177,C177+G177*B178)</f>
        <v>41.00026417135857</v>
      </c>
      <c r="D178">
        <f>IF(Eingabe_Ausgabe!$B$13=1,Berechnung!D177+dt*g,D177+H177*B178)</f>
        <v>-315.41855279454865</v>
      </c>
      <c r="E178">
        <f>0.5*roh_luft*Eingabe_Ausgabe!$B$7*(C178*C178+D178*D178)</f>
        <v>7162254.839497051</v>
      </c>
      <c r="F178">
        <f t="shared" si="20"/>
        <v>-1.4415342540334337</v>
      </c>
      <c r="G178">
        <f>IF(Eingabe_Ausgabe!$B$13=1,0,-COS(F178)*E178/m)</f>
        <v>0</v>
      </c>
      <c r="H178">
        <f>IF(Eingabe_Ausgabe!$B$13=1,g,g-SIN(F178)*E178/m)</f>
        <v>-9.81</v>
      </c>
      <c r="I178" s="4">
        <f t="shared" si="29"/>
        <v>0</v>
      </c>
      <c r="J178" s="4">
        <f t="shared" si="28"/>
        <v>0</v>
      </c>
      <c r="K178">
        <f t="shared" si="21"/>
        <v>0</v>
      </c>
      <c r="L178">
        <f t="shared" si="22"/>
        <v>-82.59382877965523</v>
      </c>
      <c r="M178">
        <f t="shared" si="23"/>
        <v>29448.43974107824</v>
      </c>
      <c r="N178">
        <f t="shared" si="24"/>
        <v>-205320.48454468432</v>
      </c>
      <c r="O178">
        <f t="shared" si="25"/>
        <v>29448.43974107824</v>
      </c>
      <c r="P178">
        <f t="shared" si="26"/>
        <v>-185415.44273218449</v>
      </c>
    </row>
    <row r="179" spans="2:16" ht="15">
      <c r="B179">
        <f t="shared" si="27"/>
        <v>8.499999999999986</v>
      </c>
      <c r="C179">
        <f>IF(Eingabe_Ausgabe!$B$13=1,Berechnung!C178,C178+G178*B179)</f>
        <v>41.00026417135857</v>
      </c>
      <c r="D179">
        <f>IF(Eingabe_Ausgabe!$B$13=1,Berechnung!D178+dt*g,D178+H178*B179)</f>
        <v>-315.90905279454864</v>
      </c>
      <c r="E179">
        <f>0.5*roh_luft*Eingabe_Ausgabe!$B$7*(C179*C179+D179*D179)</f>
        <v>7184177.451838083</v>
      </c>
      <c r="F179">
        <f t="shared" si="20"/>
        <v>-1.4417327313008192</v>
      </c>
      <c r="G179">
        <f>IF(Eingabe_Ausgabe!$B$13=1,0,-COS(F179)*E179/m)</f>
        <v>0</v>
      </c>
      <c r="H179">
        <f>IF(Eingabe_Ausgabe!$B$13=1,g,g-SIN(F179)*E179/m)</f>
        <v>-9.81</v>
      </c>
      <c r="I179" s="4">
        <f t="shared" si="29"/>
        <v>0</v>
      </c>
      <c r="J179" s="4">
        <f t="shared" si="28"/>
        <v>0</v>
      </c>
      <c r="K179">
        <f t="shared" si="21"/>
        <v>0</v>
      </c>
      <c r="L179">
        <f t="shared" si="22"/>
        <v>-82.6052006894057</v>
      </c>
      <c r="M179">
        <f t="shared" si="23"/>
        <v>29796.941986534788</v>
      </c>
      <c r="N179">
        <f t="shared" si="24"/>
        <v>-208005.711493438</v>
      </c>
      <c r="O179">
        <f t="shared" si="25"/>
        <v>29796.941986534788</v>
      </c>
      <c r="P179">
        <f t="shared" si="26"/>
        <v>-187746.28343093817</v>
      </c>
    </row>
    <row r="180" spans="2:16" ht="15">
      <c r="B180">
        <f t="shared" si="27"/>
        <v>8.549999999999986</v>
      </c>
      <c r="C180">
        <f>IF(Eingabe_Ausgabe!$B$13=1,Berechnung!C179,C179+G179*B180)</f>
        <v>41.00026417135857</v>
      </c>
      <c r="D180">
        <f>IF(Eingabe_Ausgabe!$B$13=1,Berechnung!D179+dt*g,D179+H179*B180)</f>
        <v>-316.39955279454864</v>
      </c>
      <c r="E180">
        <f>0.5*roh_luft*Eingabe_Ausgabe!$B$7*(C180*C180+D180*D180)</f>
        <v>7206134.129033107</v>
      </c>
      <c r="F180">
        <f t="shared" si="20"/>
        <v>-1.441930603365773</v>
      </c>
      <c r="G180">
        <f>IF(Eingabe_Ausgabe!$B$13=1,0,-COS(F180)*E180/m)</f>
        <v>0</v>
      </c>
      <c r="H180">
        <f>IF(Eingabe_Ausgabe!$B$13=1,g,g-SIN(F180)*E180/m)</f>
        <v>-9.81</v>
      </c>
      <c r="I180" s="4">
        <f t="shared" si="29"/>
        <v>0</v>
      </c>
      <c r="J180" s="4">
        <f t="shared" si="28"/>
        <v>0</v>
      </c>
      <c r="K180">
        <f t="shared" si="21"/>
        <v>0</v>
      </c>
      <c r="L180">
        <f t="shared" si="22"/>
        <v>-82.61653792361109</v>
      </c>
      <c r="M180">
        <f t="shared" si="23"/>
        <v>30147.494245199905</v>
      </c>
      <c r="N180">
        <f t="shared" si="24"/>
        <v>-210710.92766983138</v>
      </c>
      <c r="O180">
        <f t="shared" si="25"/>
        <v>30147.494245199905</v>
      </c>
      <c r="P180">
        <f t="shared" si="26"/>
        <v>-190092.93184483156</v>
      </c>
    </row>
    <row r="181" spans="2:16" ht="15">
      <c r="B181">
        <f t="shared" si="27"/>
        <v>8.599999999999987</v>
      </c>
      <c r="C181">
        <f>IF(Eingabe_Ausgabe!$B$13=1,Berechnung!C180,C180+G180*B181)</f>
        <v>41.00026417135857</v>
      </c>
      <c r="D181">
        <f>IF(Eingabe_Ausgabe!$B$13=1,Berechnung!D180+dt*g,D180+H180*B181)</f>
        <v>-316.89005279454864</v>
      </c>
      <c r="E181">
        <f>0.5*roh_luft*Eingabe_Ausgabe!$B$7*(C181*C181+D181*D181)</f>
        <v>7228124.871082126</v>
      </c>
      <c r="F181">
        <f t="shared" si="20"/>
        <v>-1.4421278729767575</v>
      </c>
      <c r="G181">
        <f>IF(Eingabe_Ausgabe!$B$13=1,0,-COS(F181)*E181/m)</f>
        <v>0</v>
      </c>
      <c r="H181">
        <f>IF(Eingabe_Ausgabe!$B$13=1,g,g-SIN(F181)*E181/m)</f>
        <v>-9.81</v>
      </c>
      <c r="I181" s="4">
        <f t="shared" si="29"/>
        <v>0</v>
      </c>
      <c r="J181" s="4">
        <f t="shared" si="28"/>
        <v>0</v>
      </c>
      <c r="K181">
        <f t="shared" si="21"/>
        <v>0</v>
      </c>
      <c r="L181">
        <f t="shared" si="22"/>
        <v>-82.6278406397467</v>
      </c>
      <c r="M181">
        <f t="shared" si="23"/>
        <v>30500.096517073587</v>
      </c>
      <c r="N181">
        <f t="shared" si="24"/>
        <v>-213436.18212386448</v>
      </c>
      <c r="O181">
        <f t="shared" si="25"/>
        <v>30500.096517073587</v>
      </c>
      <c r="P181">
        <f t="shared" si="26"/>
        <v>-192455.41249886467</v>
      </c>
    </row>
    <row r="182" spans="2:16" ht="15">
      <c r="B182">
        <f t="shared" si="27"/>
        <v>8.649999999999988</v>
      </c>
      <c r="C182">
        <f>IF(Eingabe_Ausgabe!$B$13=1,Berechnung!C181,C181+G181*B182)</f>
        <v>41.00026417135857</v>
      </c>
      <c r="D182">
        <f>IF(Eingabe_Ausgabe!$B$13=1,Berechnung!D181+dt*g,D181+H181*B182)</f>
        <v>-317.38055279454863</v>
      </c>
      <c r="E182">
        <f>0.5*roh_luft*Eingabe_Ausgabe!$B$7*(C182*C182+D182*D182)</f>
        <v>7250149.677985139</v>
      </c>
      <c r="F182">
        <f t="shared" si="20"/>
        <v>-1.4423245428657117</v>
      </c>
      <c r="G182">
        <f>IF(Eingabe_Ausgabe!$B$13=1,0,-COS(F182)*E182/m)</f>
        <v>0</v>
      </c>
      <c r="H182">
        <f>IF(Eingabe_Ausgabe!$B$13=1,g,g-SIN(F182)*E182/m)</f>
        <v>-9.81</v>
      </c>
      <c r="I182" s="4">
        <f t="shared" si="29"/>
        <v>0</v>
      </c>
      <c r="J182" s="4">
        <f t="shared" si="28"/>
        <v>0</v>
      </c>
      <c r="K182">
        <f t="shared" si="21"/>
        <v>0</v>
      </c>
      <c r="L182">
        <f t="shared" si="22"/>
        <v>-82.63910899434107</v>
      </c>
      <c r="M182">
        <f t="shared" si="23"/>
        <v>30854.74880215584</v>
      </c>
      <c r="N182">
        <f t="shared" si="24"/>
        <v>-216181.52390553732</v>
      </c>
      <c r="O182">
        <f t="shared" si="25"/>
        <v>30854.74880215584</v>
      </c>
      <c r="P182">
        <f t="shared" si="26"/>
        <v>-194833.74991803753</v>
      </c>
    </row>
    <row r="183" spans="2:16" ht="15">
      <c r="B183">
        <f t="shared" si="27"/>
        <v>8.699999999999989</v>
      </c>
      <c r="C183">
        <f>IF(Eingabe_Ausgabe!$B$13=1,Berechnung!C182,C182+G182*B183)</f>
        <v>41.00026417135857</v>
      </c>
      <c r="D183">
        <f>IF(Eingabe_Ausgabe!$B$13=1,Berechnung!D182+dt*g,D182+H182*B183)</f>
        <v>-317.87105279454863</v>
      </c>
      <c r="E183">
        <f>0.5*roh_luft*Eingabe_Ausgabe!$B$7*(C183*C183+D183*D183)</f>
        <v>7272208.5497421445</v>
      </c>
      <c r="F183">
        <f t="shared" si="20"/>
        <v>-1.4425206157481743</v>
      </c>
      <c r="G183">
        <f>IF(Eingabe_Ausgabe!$B$13=1,0,-COS(F183)*E183/m)</f>
        <v>0</v>
      </c>
      <c r="H183">
        <f>IF(Eingabe_Ausgabe!$B$13=1,g,g-SIN(F183)*E183/m)</f>
        <v>-9.81</v>
      </c>
      <c r="I183" s="4">
        <f t="shared" si="29"/>
        <v>0</v>
      </c>
      <c r="J183" s="4">
        <f t="shared" si="28"/>
        <v>0</v>
      </c>
      <c r="K183">
        <f t="shared" si="21"/>
        <v>0</v>
      </c>
      <c r="L183">
        <f t="shared" si="22"/>
        <v>-82.65034314298315</v>
      </c>
      <c r="M183">
        <f t="shared" si="23"/>
        <v>31211.45110044666</v>
      </c>
      <c r="N183">
        <f t="shared" si="24"/>
        <v>-218947.0020648499</v>
      </c>
      <c r="O183">
        <f t="shared" si="25"/>
        <v>31211.45110044666</v>
      </c>
      <c r="P183">
        <f t="shared" si="26"/>
        <v>-197227.9686273501</v>
      </c>
    </row>
    <row r="184" spans="2:16" ht="15">
      <c r="B184">
        <f t="shared" si="27"/>
        <v>8.74999999999999</v>
      </c>
      <c r="C184">
        <f>IF(Eingabe_Ausgabe!$B$13=1,Berechnung!C183,C183+G183*B184)</f>
        <v>41.00026417135857</v>
      </c>
      <c r="D184">
        <f>IF(Eingabe_Ausgabe!$B$13=1,Berechnung!D183+dt*g,D183+H183*B184)</f>
        <v>-318.36155279454863</v>
      </c>
      <c r="E184">
        <f>0.5*roh_luft*Eingabe_Ausgabe!$B$7*(C184*C184+D184*D184)</f>
        <v>7294301.486353145</v>
      </c>
      <c r="F184">
        <f t="shared" si="20"/>
        <v>-1.4427160943234065</v>
      </c>
      <c r="G184">
        <f>IF(Eingabe_Ausgabe!$B$13=1,0,-COS(F184)*E184/m)</f>
        <v>0</v>
      </c>
      <c r="H184">
        <f>IF(Eingabe_Ausgabe!$B$13=1,g,g-SIN(F184)*E184/m)</f>
        <v>-9.81</v>
      </c>
      <c r="I184" s="4">
        <f t="shared" si="29"/>
        <v>0</v>
      </c>
      <c r="J184" s="4">
        <f t="shared" si="28"/>
        <v>0</v>
      </c>
      <c r="K184">
        <f t="shared" si="21"/>
        <v>0</v>
      </c>
      <c r="L184">
        <f t="shared" si="22"/>
        <v>-82.66154324032918</v>
      </c>
      <c r="M184">
        <f t="shared" si="23"/>
        <v>31570.203411946044</v>
      </c>
      <c r="N184">
        <f t="shared" si="24"/>
        <v>-221732.66565180218</v>
      </c>
      <c r="O184">
        <f t="shared" si="25"/>
        <v>31570.203411946044</v>
      </c>
      <c r="P184">
        <f t="shared" si="26"/>
        <v>-199638.09315180243</v>
      </c>
    </row>
    <row r="185" spans="2:16" ht="15">
      <c r="B185">
        <f t="shared" si="27"/>
        <v>8.79999999999999</v>
      </c>
      <c r="C185">
        <f>IF(Eingabe_Ausgabe!$B$13=1,Berechnung!C184,C184+G184*B185)</f>
        <v>41.00026417135857</v>
      </c>
      <c r="D185">
        <f>IF(Eingabe_Ausgabe!$B$13=1,Berechnung!D184+dt*g,D184+H184*B185)</f>
        <v>-318.8520527945486</v>
      </c>
      <c r="E185">
        <f>0.5*roh_luft*Eingabe_Ausgabe!$B$7*(C185*C185+D185*D185)</f>
        <v>7316428.487818138</v>
      </c>
      <c r="F185">
        <f t="shared" si="20"/>
        <v>-1.442910981274513</v>
      </c>
      <c r="G185">
        <f>IF(Eingabe_Ausgabe!$B$13=1,0,-COS(F185)*E185/m)</f>
        <v>0</v>
      </c>
      <c r="H185">
        <f>IF(Eingabe_Ausgabe!$B$13=1,g,g-SIN(F185)*E185/m)</f>
        <v>-9.81</v>
      </c>
      <c r="I185" s="4">
        <f t="shared" si="29"/>
        <v>0</v>
      </c>
      <c r="J185" s="4">
        <f t="shared" si="28"/>
        <v>0</v>
      </c>
      <c r="K185">
        <f t="shared" si="21"/>
        <v>0</v>
      </c>
      <c r="L185">
        <f t="shared" si="22"/>
        <v>-82.67270944010974</v>
      </c>
      <c r="M185">
        <f t="shared" si="23"/>
        <v>31931.005736654</v>
      </c>
      <c r="N185">
        <f t="shared" si="24"/>
        <v>-224538.56371639422</v>
      </c>
      <c r="O185">
        <f t="shared" si="25"/>
        <v>31931.005736654</v>
      </c>
      <c r="P185">
        <f t="shared" si="26"/>
        <v>-202064.14801639447</v>
      </c>
    </row>
    <row r="186" spans="2:16" ht="15">
      <c r="B186">
        <f t="shared" si="27"/>
        <v>8.84999999999999</v>
      </c>
      <c r="C186">
        <f>IF(Eingabe_Ausgabe!$B$13=1,Berechnung!C185,C185+G185*B186)</f>
        <v>41.00026417135857</v>
      </c>
      <c r="D186">
        <f>IF(Eingabe_Ausgabe!$B$13=1,Berechnung!D185+dt*g,D185+H185*B186)</f>
        <v>-319.3425527945486</v>
      </c>
      <c r="E186">
        <f>0.5*roh_luft*Eingabe_Ausgabe!$B$7*(C186*C186+D186*D186)</f>
        <v>7338589.554137125</v>
      </c>
      <c r="F186">
        <f t="shared" si="20"/>
        <v>-1.443105279268561</v>
      </c>
      <c r="G186">
        <f>IF(Eingabe_Ausgabe!$B$13=1,0,-COS(F186)*E186/m)</f>
        <v>0</v>
      </c>
      <c r="H186">
        <f>IF(Eingabe_Ausgabe!$B$13=1,g,g-SIN(F186)*E186/m)</f>
        <v>-9.81</v>
      </c>
      <c r="I186" s="4">
        <f t="shared" si="29"/>
        <v>0</v>
      </c>
      <c r="J186" s="4">
        <f t="shared" si="28"/>
        <v>0</v>
      </c>
      <c r="K186">
        <f t="shared" si="21"/>
        <v>0</v>
      </c>
      <c r="L186">
        <f t="shared" si="22"/>
        <v>-82.68384189513657</v>
      </c>
      <c r="M186">
        <f t="shared" si="23"/>
        <v>32293.858074570522</v>
      </c>
      <c r="N186">
        <f t="shared" si="24"/>
        <v>-227364.74530862598</v>
      </c>
      <c r="O186">
        <f t="shared" si="25"/>
        <v>32293.858074570522</v>
      </c>
      <c r="P186">
        <f t="shared" si="26"/>
        <v>-204506.1577461262</v>
      </c>
    </row>
    <row r="187" spans="2:16" ht="15">
      <c r="B187">
        <f t="shared" si="27"/>
        <v>8.899999999999991</v>
      </c>
      <c r="C187">
        <f>IF(Eingabe_Ausgabe!$B$13=1,Berechnung!C186,C186+G186*B187)</f>
        <v>41.00026417135857</v>
      </c>
      <c r="D187">
        <f>IF(Eingabe_Ausgabe!$B$13=1,Berechnung!D186+dt*g,D186+H186*B187)</f>
        <v>-319.8330527945486</v>
      </c>
      <c r="E187">
        <f>0.5*roh_luft*Eingabe_Ausgabe!$B$7*(C187*C187+D187*D187)</f>
        <v>7360784.685310106</v>
      </c>
      <c r="F187">
        <f t="shared" si="20"/>
        <v>-1.4432989909567007</v>
      </c>
      <c r="G187">
        <f>IF(Eingabe_Ausgabe!$B$13=1,0,-COS(F187)*E187/m)</f>
        <v>0</v>
      </c>
      <c r="H187">
        <f>IF(Eingabe_Ausgabe!$B$13=1,g,g-SIN(F187)*E187/m)</f>
        <v>-9.81</v>
      </c>
      <c r="I187" s="4">
        <f t="shared" si="29"/>
        <v>0</v>
      </c>
      <c r="J187" s="4">
        <f t="shared" si="28"/>
        <v>0</v>
      </c>
      <c r="K187">
        <f t="shared" si="21"/>
        <v>0</v>
      </c>
      <c r="L187">
        <f t="shared" si="22"/>
        <v>-82.69494075730933</v>
      </c>
      <c r="M187">
        <f t="shared" si="23"/>
        <v>32658.760425695615</v>
      </c>
      <c r="N187">
        <f t="shared" si="24"/>
        <v>-230211.25947849746</v>
      </c>
      <c r="O187">
        <f t="shared" si="25"/>
        <v>32658.760425695615</v>
      </c>
      <c r="P187">
        <f t="shared" si="26"/>
        <v>-206964.1468659977</v>
      </c>
    </row>
    <row r="188" spans="2:16" ht="15">
      <c r="B188">
        <f t="shared" si="27"/>
        <v>8.949999999999992</v>
      </c>
      <c r="C188">
        <f>IF(Eingabe_Ausgabe!$B$13=1,Berechnung!C187,C187+G187*B188)</f>
        <v>41.00026417135857</v>
      </c>
      <c r="D188">
        <f>IF(Eingabe_Ausgabe!$B$13=1,Berechnung!D187+dt*g,D187+H187*B188)</f>
        <v>-320.3235527945486</v>
      </c>
      <c r="E188">
        <f>0.5*roh_luft*Eingabe_Ausgabe!$B$7*(C188*C188+D188*D188)</f>
        <v>7383013.88133708</v>
      </c>
      <c r="F188">
        <f t="shared" si="20"/>
        <v>-1.443492118974282</v>
      </c>
      <c r="G188">
        <f>IF(Eingabe_Ausgabe!$B$13=1,0,-COS(F188)*E188/m)</f>
        <v>0</v>
      </c>
      <c r="H188">
        <f>IF(Eingabe_Ausgabe!$B$13=1,g,g-SIN(F188)*E188/m)</f>
        <v>-9.81</v>
      </c>
      <c r="I188" s="4">
        <f t="shared" si="29"/>
        <v>0</v>
      </c>
      <c r="J188" s="4">
        <f t="shared" si="28"/>
        <v>0</v>
      </c>
      <c r="K188">
        <f t="shared" si="21"/>
        <v>0</v>
      </c>
      <c r="L188">
        <f t="shared" si="22"/>
        <v>-82.70600617762246</v>
      </c>
      <c r="M188">
        <f t="shared" si="23"/>
        <v>33025.712790029276</v>
      </c>
      <c r="N188">
        <f t="shared" si="24"/>
        <v>-233078.15527600868</v>
      </c>
      <c r="O188">
        <f t="shared" si="25"/>
        <v>33025.712790029276</v>
      </c>
      <c r="P188">
        <f t="shared" si="26"/>
        <v>-209438.1399010089</v>
      </c>
    </row>
    <row r="189" spans="2:16" ht="15">
      <c r="B189">
        <f t="shared" si="27"/>
        <v>8.999999999999993</v>
      </c>
      <c r="C189">
        <f>IF(Eingabe_Ausgabe!$B$13=1,Berechnung!C188,C188+G188*B189)</f>
        <v>41.00026417135857</v>
      </c>
      <c r="D189">
        <f>IF(Eingabe_Ausgabe!$B$13=1,Berechnung!D188+dt*g,D188+H188*B189)</f>
        <v>-320.8140527945486</v>
      </c>
      <c r="E189">
        <f>0.5*roh_luft*Eingabe_Ausgabe!$B$7*(C189*C189+D189*D189)</f>
        <v>7405277.142218048</v>
      </c>
      <c r="F189">
        <f t="shared" si="20"/>
        <v>-1.4436846659409717</v>
      </c>
      <c r="G189">
        <f>IF(Eingabe_Ausgabe!$B$13=1,0,-COS(F189)*E189/m)</f>
        <v>0</v>
      </c>
      <c r="H189">
        <f>IF(Eingabe_Ausgabe!$B$13=1,g,g-SIN(F189)*E189/m)</f>
        <v>-9.81</v>
      </c>
      <c r="I189" s="4">
        <f t="shared" si="29"/>
        <v>0</v>
      </c>
      <c r="J189" s="4">
        <f t="shared" si="28"/>
        <v>0</v>
      </c>
      <c r="K189">
        <f t="shared" si="21"/>
        <v>0</v>
      </c>
      <c r="L189">
        <f t="shared" si="22"/>
        <v>-82.71703830617182</v>
      </c>
      <c r="M189">
        <f t="shared" si="23"/>
        <v>33394.7151675715</v>
      </c>
      <c r="N189">
        <f t="shared" si="24"/>
        <v>-235965.48175115962</v>
      </c>
      <c r="O189">
        <f t="shared" si="25"/>
        <v>33394.7151675715</v>
      </c>
      <c r="P189">
        <f t="shared" si="26"/>
        <v>-211928.1613761598</v>
      </c>
    </row>
    <row r="190" spans="2:16" ht="15">
      <c r="B190">
        <f t="shared" si="27"/>
        <v>9.049999999999994</v>
      </c>
      <c r="C190">
        <f>IF(Eingabe_Ausgabe!$B$13=1,Berechnung!C189,C189+G189*B190)</f>
        <v>41.00026417135857</v>
      </c>
      <c r="D190">
        <f>IF(Eingabe_Ausgabe!$B$13=1,Berechnung!D189+dt*g,D189+H189*B190)</f>
        <v>-321.3045527945486</v>
      </c>
      <c r="E190">
        <f>0.5*roh_luft*Eingabe_Ausgabe!$B$7*(C190*C190+D190*D190)</f>
        <v>7427574.467953009</v>
      </c>
      <c r="F190">
        <f t="shared" si="20"/>
        <v>-1.4438766344608696</v>
      </c>
      <c r="G190">
        <f>IF(Eingabe_Ausgabe!$B$13=1,0,-COS(F190)*E190/m)</f>
        <v>0</v>
      </c>
      <c r="H190">
        <f>IF(Eingabe_Ausgabe!$B$13=1,g,g-SIN(F190)*E190/m)</f>
        <v>-9.81</v>
      </c>
      <c r="I190" s="4">
        <f t="shared" si="29"/>
        <v>0</v>
      </c>
      <c r="J190" s="4">
        <f t="shared" si="28"/>
        <v>0</v>
      </c>
      <c r="K190">
        <f t="shared" si="21"/>
        <v>0</v>
      </c>
      <c r="L190">
        <f t="shared" si="22"/>
        <v>-82.72803729216135</v>
      </c>
      <c r="M190">
        <f t="shared" si="23"/>
        <v>33765.767558322295</v>
      </c>
      <c r="N190">
        <f t="shared" si="24"/>
        <v>-238873.2879539503</v>
      </c>
      <c r="O190">
        <f t="shared" si="25"/>
        <v>33765.767558322295</v>
      </c>
      <c r="P190">
        <f t="shared" si="26"/>
        <v>-214434.23581645047</v>
      </c>
    </row>
    <row r="191" spans="2:16" ht="15">
      <c r="B191">
        <f t="shared" si="27"/>
        <v>9.099999999999994</v>
      </c>
      <c r="C191">
        <f>IF(Eingabe_Ausgabe!$B$13=1,Berechnung!C190,C190+G190*B191)</f>
        <v>41.00026417135857</v>
      </c>
      <c r="D191">
        <f>IF(Eingabe_Ausgabe!$B$13=1,Berechnung!D190+dt*g,D190+H190*B191)</f>
        <v>-321.7950527945486</v>
      </c>
      <c r="E191">
        <f>0.5*roh_luft*Eingabe_Ausgabe!$B$7*(C191*C191+D191*D191)</f>
        <v>7449905.858541965</v>
      </c>
      <c r="F191">
        <f t="shared" si="20"/>
        <v>-1.444068027122623</v>
      </c>
      <c r="G191">
        <f>IF(Eingabe_Ausgabe!$B$13=1,0,-COS(F191)*E191/m)</f>
        <v>0</v>
      </c>
      <c r="H191">
        <f>IF(Eingabe_Ausgabe!$B$13=1,g,g-SIN(F191)*E191/m)</f>
        <v>-9.81</v>
      </c>
      <c r="I191" s="4">
        <f t="shared" si="29"/>
        <v>0</v>
      </c>
      <c r="J191" s="4">
        <f t="shared" si="28"/>
        <v>0</v>
      </c>
      <c r="K191">
        <f t="shared" si="21"/>
        <v>0</v>
      </c>
      <c r="L191">
        <f t="shared" si="22"/>
        <v>-82.73900328390958</v>
      </c>
      <c r="M191">
        <f t="shared" si="23"/>
        <v>34138.86996228166</v>
      </c>
      <c r="N191">
        <f t="shared" si="24"/>
        <v>-241801.6229343807</v>
      </c>
      <c r="O191">
        <f t="shared" si="25"/>
        <v>34138.86996228166</v>
      </c>
      <c r="P191">
        <f t="shared" si="26"/>
        <v>-216956.38774688085</v>
      </c>
    </row>
    <row r="192" spans="2:16" ht="15">
      <c r="B192">
        <f t="shared" si="27"/>
        <v>9.149999999999995</v>
      </c>
      <c r="C192">
        <f>IF(Eingabe_Ausgabe!$B$13=1,Berechnung!C191,C191+G191*B192)</f>
        <v>41.00026417135857</v>
      </c>
      <c r="D192">
        <f>IF(Eingabe_Ausgabe!$B$13=1,Berechnung!D191+dt*g,D191+H191*B192)</f>
        <v>-322.2855527945486</v>
      </c>
      <c r="E192">
        <f>0.5*roh_luft*Eingabe_Ausgabe!$B$7*(C192*C192+D192*D192)</f>
        <v>7472271.313984914</v>
      </c>
      <c r="F192">
        <f t="shared" si="20"/>
        <v>-1.4442588464995405</v>
      </c>
      <c r="G192">
        <f>IF(Eingabe_Ausgabe!$B$13=1,0,-COS(F192)*E192/m)</f>
        <v>0</v>
      </c>
      <c r="H192">
        <f>IF(Eingabe_Ausgabe!$B$13=1,g,g-SIN(F192)*E192/m)</f>
        <v>-9.81</v>
      </c>
      <c r="I192" s="4">
        <f t="shared" si="29"/>
        <v>0</v>
      </c>
      <c r="J192" s="4">
        <f t="shared" si="28"/>
        <v>0</v>
      </c>
      <c r="K192">
        <f t="shared" si="21"/>
        <v>0</v>
      </c>
      <c r="L192">
        <f t="shared" si="22"/>
        <v>-82.74993642885627</v>
      </c>
      <c r="M192">
        <f t="shared" si="23"/>
        <v>34514.02237944959</v>
      </c>
      <c r="N192">
        <f t="shared" si="24"/>
        <v>-244750.5357424508</v>
      </c>
      <c r="O192">
        <f t="shared" si="25"/>
        <v>34514.02237944959</v>
      </c>
      <c r="P192">
        <f t="shared" si="26"/>
        <v>-219494.64169245097</v>
      </c>
    </row>
    <row r="193" spans="2:16" ht="15">
      <c r="B193">
        <f t="shared" si="27"/>
        <v>9.199999999999996</v>
      </c>
      <c r="C193">
        <f>IF(Eingabe_Ausgabe!$B$13=1,Berechnung!C192,C192+G192*B193)</f>
        <v>41.00026417135857</v>
      </c>
      <c r="D193">
        <f>IF(Eingabe_Ausgabe!$B$13=1,Berechnung!D192+dt*g,D192+H192*B193)</f>
        <v>-322.7760527945486</v>
      </c>
      <c r="E193">
        <f>0.5*roh_luft*Eingabe_Ausgabe!$B$7*(C193*C193+D193*D193)</f>
        <v>7494670.834281855</v>
      </c>
      <c r="F193">
        <f t="shared" si="20"/>
        <v>-1.4444490951497049</v>
      </c>
      <c r="G193">
        <f>IF(Eingabe_Ausgabe!$B$13=1,0,-COS(F193)*E193/m)</f>
        <v>0</v>
      </c>
      <c r="H193">
        <f>IF(Eingabe_Ausgabe!$B$13=1,g,g-SIN(F193)*E193/m)</f>
        <v>-9.81</v>
      </c>
      <c r="I193" s="4">
        <f t="shared" si="29"/>
        <v>0</v>
      </c>
      <c r="J193" s="4">
        <f t="shared" si="28"/>
        <v>0</v>
      </c>
      <c r="K193">
        <f t="shared" si="21"/>
        <v>0</v>
      </c>
      <c r="L193">
        <f t="shared" si="22"/>
        <v>-82.76083687356876</v>
      </c>
      <c r="M193">
        <f t="shared" si="23"/>
        <v>34891.22480982609</v>
      </c>
      <c r="N193">
        <f t="shared" si="24"/>
        <v>-247720.07542816064</v>
      </c>
      <c r="O193">
        <f t="shared" si="25"/>
        <v>34891.22480982609</v>
      </c>
      <c r="P193">
        <f t="shared" si="26"/>
        <v>-222049.0221781608</v>
      </c>
    </row>
    <row r="194" spans="2:16" ht="15">
      <c r="B194">
        <f t="shared" si="27"/>
        <v>9.249999999999996</v>
      </c>
      <c r="C194">
        <f>IF(Eingabe_Ausgabe!$B$13=1,Berechnung!C193,C193+G193*B194)</f>
        <v>41.00026417135857</v>
      </c>
      <c r="D194">
        <f>IF(Eingabe_Ausgabe!$B$13=1,Berechnung!D193+dt*g,D193+H193*B194)</f>
        <v>-323.2665527945486</v>
      </c>
      <c r="E194">
        <f>0.5*roh_luft*Eingabe_Ausgabe!$B$7*(C194*C194+D194*D194)</f>
        <v>7517104.419432793</v>
      </c>
      <c r="F194">
        <f t="shared" si="20"/>
        <v>-1.4446387756160857</v>
      </c>
      <c r="G194">
        <f>IF(Eingabe_Ausgabe!$B$13=1,0,-COS(F194)*E194/m)</f>
        <v>0</v>
      </c>
      <c r="H194">
        <f>IF(Eingabe_Ausgabe!$B$13=1,g,g-SIN(F194)*E194/m)</f>
        <v>-9.81</v>
      </c>
      <c r="I194" s="4">
        <f t="shared" si="29"/>
        <v>0</v>
      </c>
      <c r="J194" s="4">
        <f t="shared" si="28"/>
        <v>0</v>
      </c>
      <c r="K194">
        <f t="shared" si="21"/>
        <v>0</v>
      </c>
      <c r="L194">
        <f t="shared" si="22"/>
        <v>-82.77170476374845</v>
      </c>
      <c r="M194">
        <f t="shared" si="23"/>
        <v>35270.477253411154</v>
      </c>
      <c r="N194">
        <f t="shared" si="24"/>
        <v>-250710.2910415102</v>
      </c>
      <c r="O194">
        <f t="shared" si="25"/>
        <v>35270.477253411154</v>
      </c>
      <c r="P194">
        <f t="shared" si="26"/>
        <v>-224619.55372901037</v>
      </c>
    </row>
    <row r="195" spans="2:16" ht="15">
      <c r="B195">
        <f t="shared" si="27"/>
        <v>9.299999999999997</v>
      </c>
      <c r="C195">
        <f>IF(Eingabe_Ausgabe!$B$13=1,Berechnung!C194,C194+G194*B195)</f>
        <v>41.00026417135857</v>
      </c>
      <c r="D195">
        <f>IF(Eingabe_Ausgabe!$B$13=1,Berechnung!D194+dt*g,D194+H194*B195)</f>
        <v>-323.7570527945486</v>
      </c>
      <c r="E195">
        <f>0.5*roh_luft*Eingabe_Ausgabe!$B$7*(C195*C195+D195*D195)</f>
        <v>7539572.069437723</v>
      </c>
      <c r="F195">
        <f t="shared" si="20"/>
        <v>-1.4448278904266483</v>
      </c>
      <c r="G195">
        <f>IF(Eingabe_Ausgabe!$B$13=1,0,-COS(F195)*E195/m)</f>
        <v>0</v>
      </c>
      <c r="H195">
        <f>IF(Eingabe_Ausgabe!$B$13=1,g,g-SIN(F195)*E195/m)</f>
        <v>-9.81</v>
      </c>
      <c r="I195" s="4">
        <f t="shared" si="29"/>
        <v>0</v>
      </c>
      <c r="J195" s="4">
        <f t="shared" si="28"/>
        <v>0</v>
      </c>
      <c r="K195">
        <f t="shared" si="21"/>
        <v>0</v>
      </c>
      <c r="L195">
        <f t="shared" si="22"/>
        <v>-82.78254024423711</v>
      </c>
      <c r="M195">
        <f t="shared" si="23"/>
        <v>35651.77971020479</v>
      </c>
      <c r="N195">
        <f t="shared" si="24"/>
        <v>-253721.23163249952</v>
      </c>
      <c r="O195">
        <f t="shared" si="25"/>
        <v>35651.77971020479</v>
      </c>
      <c r="P195">
        <f t="shared" si="26"/>
        <v>-227206.26086999968</v>
      </c>
    </row>
    <row r="196" spans="2:16" ht="15">
      <c r="B196">
        <f t="shared" si="27"/>
        <v>9.349999999999998</v>
      </c>
      <c r="C196">
        <f>IF(Eingabe_Ausgabe!$B$13=1,Berechnung!C195,C195+G195*B196)</f>
        <v>41.00026417135857</v>
      </c>
      <c r="D196">
        <f>IF(Eingabe_Ausgabe!$B$13=1,Berechnung!D195+dt*g,D195+H195*B196)</f>
        <v>-324.2475527945486</v>
      </c>
      <c r="E196">
        <f>0.5*roh_luft*Eingabe_Ausgabe!$B$7*(C196*C196+D196*D196)</f>
        <v>7562073.784296645</v>
      </c>
      <c r="F196">
        <f t="shared" si="20"/>
        <v>-1.4450164420944656</v>
      </c>
      <c r="G196">
        <f>IF(Eingabe_Ausgabe!$B$13=1,0,-COS(F196)*E196/m)</f>
        <v>0</v>
      </c>
      <c r="H196">
        <f>IF(Eingabe_Ausgabe!$B$13=1,g,g-SIN(F196)*E196/m)</f>
        <v>-9.81</v>
      </c>
      <c r="I196" s="4">
        <f t="shared" si="29"/>
        <v>0</v>
      </c>
      <c r="J196" s="4">
        <f t="shared" si="28"/>
        <v>0</v>
      </c>
      <c r="K196">
        <f t="shared" si="21"/>
        <v>0</v>
      </c>
      <c r="L196">
        <f t="shared" si="22"/>
        <v>-82.79334345902319</v>
      </c>
      <c r="M196">
        <f t="shared" si="23"/>
        <v>36035.132180206994</v>
      </c>
      <c r="N196">
        <f t="shared" si="24"/>
        <v>-256752.94625112854</v>
      </c>
      <c r="O196">
        <f t="shared" si="25"/>
        <v>36035.132180206994</v>
      </c>
      <c r="P196">
        <f t="shared" si="26"/>
        <v>-229809.1681261287</v>
      </c>
    </row>
    <row r="197" spans="2:16" ht="15">
      <c r="B197">
        <f t="shared" si="27"/>
        <v>9.399999999999999</v>
      </c>
      <c r="C197">
        <f>IF(Eingabe_Ausgabe!$B$13=1,Berechnung!C196,C196+G196*B197)</f>
        <v>41.00026417135857</v>
      </c>
      <c r="D197">
        <f>IF(Eingabe_Ausgabe!$B$13=1,Berechnung!D196+dt*g,D196+H196*B197)</f>
        <v>-324.7380527945486</v>
      </c>
      <c r="E197">
        <f>0.5*roh_luft*Eingabe_Ausgabe!$B$7*(C197*C197+D197*D197)</f>
        <v>7584609.564009563</v>
      </c>
      <c r="F197">
        <f t="shared" si="20"/>
        <v>-1.4452044331178253</v>
      </c>
      <c r="G197">
        <f>IF(Eingabe_Ausgabe!$B$13=1,0,-COS(F197)*E197/m)</f>
        <v>0</v>
      </c>
      <c r="H197">
        <f>IF(Eingabe_Ausgabe!$B$13=1,g,g-SIN(F197)*E197/m)</f>
        <v>-9.81</v>
      </c>
      <c r="I197" s="4">
        <f t="shared" si="29"/>
        <v>0</v>
      </c>
      <c r="J197" s="4">
        <f t="shared" si="28"/>
        <v>0</v>
      </c>
      <c r="K197">
        <f t="shared" si="21"/>
        <v>0</v>
      </c>
      <c r="L197">
        <f t="shared" si="22"/>
        <v>-82.80411455124805</v>
      </c>
      <c r="M197">
        <f t="shared" si="23"/>
        <v>36420.53466341776</v>
      </c>
      <c r="N197">
        <f t="shared" si="24"/>
        <v>-259805.4839473973</v>
      </c>
      <c r="O197">
        <f t="shared" si="25"/>
        <v>36420.53466341776</v>
      </c>
      <c r="P197">
        <f t="shared" si="26"/>
        <v>-232428.30002239748</v>
      </c>
    </row>
    <row r="198" spans="2:16" ht="15">
      <c r="B198">
        <f t="shared" si="27"/>
        <v>9.45</v>
      </c>
      <c r="C198">
        <f>IF(Eingabe_Ausgabe!$B$13=1,Berechnung!C197,C197+G197*B198)</f>
        <v>41.00026417135857</v>
      </c>
      <c r="D198">
        <f>IF(Eingabe_Ausgabe!$B$13=1,Berechnung!D197+dt*g,D197+H197*B198)</f>
        <v>-325.2285527945486</v>
      </c>
      <c r="E198">
        <f>0.5*roh_luft*Eingabe_Ausgabe!$B$7*(C198*C198+D198*D198)</f>
        <v>7607179.408576474</v>
      </c>
      <c r="F198">
        <f t="shared" si="20"/>
        <v>-1.44539186598034</v>
      </c>
      <c r="G198">
        <f>IF(Eingabe_Ausgabe!$B$13=1,0,-COS(F198)*E198/m)</f>
        <v>0</v>
      </c>
      <c r="H198">
        <f>IF(Eingabe_Ausgabe!$B$13=1,g,g-SIN(F198)*E198/m)</f>
        <v>-9.81</v>
      </c>
      <c r="I198" s="4">
        <f t="shared" si="29"/>
        <v>0</v>
      </c>
      <c r="J198" s="4">
        <f t="shared" si="28"/>
        <v>0</v>
      </c>
      <c r="K198">
        <f t="shared" si="21"/>
        <v>0</v>
      </c>
      <c r="L198">
        <f t="shared" si="22"/>
        <v>-82.81485366321219</v>
      </c>
      <c r="M198">
        <f t="shared" si="23"/>
        <v>36807.9871598371</v>
      </c>
      <c r="N198">
        <f t="shared" si="24"/>
        <v>-262878.8937713058</v>
      </c>
      <c r="O198">
        <f t="shared" si="25"/>
        <v>36807.9871598371</v>
      </c>
      <c r="P198">
        <f t="shared" si="26"/>
        <v>-235063.68108380598</v>
      </c>
    </row>
    <row r="199" spans="2:16" ht="15">
      <c r="B199">
        <f t="shared" si="27"/>
        <v>9.5</v>
      </c>
      <c r="C199">
        <f>IF(Eingabe_Ausgabe!$B$13=1,Berechnung!C198,C198+G198*B199)</f>
        <v>41.00026417135857</v>
      </c>
      <c r="D199">
        <f>IF(Eingabe_Ausgabe!$B$13=1,Berechnung!D198+dt*g,D198+H198*B199)</f>
        <v>-325.7190527945486</v>
      </c>
      <c r="E199">
        <f>0.5*roh_luft*Eingabe_Ausgabe!$B$7*(C199*C199+D199*D199)</f>
        <v>7629783.317997378</v>
      </c>
      <c r="F199">
        <f t="shared" si="20"/>
        <v>-1.4455787431510516</v>
      </c>
      <c r="G199">
        <f>IF(Eingabe_Ausgabe!$B$13=1,0,-COS(F199)*E199/m)</f>
        <v>0</v>
      </c>
      <c r="H199">
        <f>IF(Eingabe_Ausgabe!$B$13=1,g,g-SIN(F199)*E199/m)</f>
        <v>-9.81</v>
      </c>
      <c r="I199" s="4">
        <f t="shared" si="29"/>
        <v>0</v>
      </c>
      <c r="J199" s="4">
        <f t="shared" si="28"/>
        <v>0</v>
      </c>
      <c r="K199">
        <f t="shared" si="21"/>
        <v>0</v>
      </c>
      <c r="L199">
        <f t="shared" si="22"/>
        <v>-82.82556093638132</v>
      </c>
      <c r="M199">
        <f t="shared" si="23"/>
        <v>37197.48966946501</v>
      </c>
      <c r="N199">
        <f t="shared" si="24"/>
        <v>-265973.224772854</v>
      </c>
      <c r="O199">
        <f t="shared" si="25"/>
        <v>37197.48966946501</v>
      </c>
      <c r="P199">
        <f t="shared" si="26"/>
        <v>-237715.33583535417</v>
      </c>
    </row>
    <row r="200" spans="2:16" ht="15">
      <c r="B200">
        <f t="shared" si="27"/>
        <v>9.55</v>
      </c>
      <c r="C200">
        <f>IF(Eingabe_Ausgabe!$B$13=1,Berechnung!C199,C199+G199*B200)</f>
        <v>41.00026417135857</v>
      </c>
      <c r="D200">
        <f>IF(Eingabe_Ausgabe!$B$13=1,Berechnung!D199+dt*g,D199+H199*B200)</f>
        <v>-326.2095527945486</v>
      </c>
      <c r="E200">
        <f>0.5*roh_luft*Eingabe_Ausgabe!$B$7*(C200*C200+D200*D200)</f>
        <v>7652421.292272275</v>
      </c>
      <c r="F200">
        <f t="shared" si="20"/>
        <v>-1.4457650670845397</v>
      </c>
      <c r="G200">
        <f>IF(Eingabe_Ausgabe!$B$13=1,0,-COS(F200)*E200/m)</f>
        <v>0</v>
      </c>
      <c r="H200">
        <f>IF(Eingabe_Ausgabe!$B$13=1,g,g-SIN(F200)*E200/m)</f>
        <v>-9.81</v>
      </c>
      <c r="I200" s="4">
        <f t="shared" si="29"/>
        <v>0</v>
      </c>
      <c r="J200" s="4">
        <f t="shared" si="28"/>
        <v>0</v>
      </c>
      <c r="K200">
        <f t="shared" si="21"/>
        <v>0</v>
      </c>
      <c r="L200">
        <f t="shared" si="22"/>
        <v>-82.83623651139246</v>
      </c>
      <c r="M200">
        <f t="shared" si="23"/>
        <v>37589.04219230148</v>
      </c>
      <c r="N200">
        <f t="shared" si="24"/>
        <v>-269088.52600204194</v>
      </c>
      <c r="O200">
        <f t="shared" si="25"/>
        <v>37589.04219230148</v>
      </c>
      <c r="P200">
        <f t="shared" si="26"/>
        <v>-240383.2888020421</v>
      </c>
    </row>
    <row r="201" spans="2:16" ht="15">
      <c r="B201">
        <f t="shared" si="27"/>
        <v>9.600000000000001</v>
      </c>
      <c r="C201">
        <f>IF(Eingabe_Ausgabe!$B$13=1,Berechnung!C200,C200+G200*B201)</f>
        <v>41.00026417135857</v>
      </c>
      <c r="D201">
        <f>IF(Eingabe_Ausgabe!$B$13=1,Berechnung!D200+dt*g,D200+H200*B201)</f>
        <v>-326.7000527945486</v>
      </c>
      <c r="E201">
        <f>0.5*roh_luft*Eingabe_Ausgabe!$B$7*(C201*C201+D201*D201)</f>
        <v>7675093.331401167</v>
      </c>
      <c r="F201">
        <f aca="true" t="shared" si="30" ref="F201:F264">ATAN(D201/C201)</f>
        <v>-1.4459508402210253</v>
      </c>
      <c r="G201">
        <f>IF(Eingabe_Ausgabe!$B$13=1,0,-COS(F201)*E201/m)</f>
        <v>0</v>
      </c>
      <c r="H201">
        <f>IF(Eingabe_Ausgabe!$B$13=1,g,g-SIN(F201)*E201/m)</f>
        <v>-9.81</v>
      </c>
      <c r="I201" s="4">
        <f t="shared" si="29"/>
        <v>0</v>
      </c>
      <c r="J201" s="4">
        <f t="shared" si="28"/>
        <v>0</v>
      </c>
      <c r="K201">
        <f t="shared" si="21"/>
        <v>0</v>
      </c>
      <c r="L201">
        <f t="shared" si="22"/>
        <v>-82.84688052805998</v>
      </c>
      <c r="M201">
        <f t="shared" si="23"/>
        <v>37982.644728346524</v>
      </c>
      <c r="N201">
        <f t="shared" si="24"/>
        <v>-272224.8465088696</v>
      </c>
      <c r="O201">
        <f t="shared" si="25"/>
        <v>37982.644728346524</v>
      </c>
      <c r="P201">
        <f t="shared" si="26"/>
        <v>-243067.56450886978</v>
      </c>
    </row>
    <row r="202" spans="2:16" ht="15">
      <c r="B202">
        <f t="shared" si="27"/>
        <v>9.650000000000002</v>
      </c>
      <c r="C202">
        <f>IF(Eingabe_Ausgabe!$B$13=1,Berechnung!C201,C201+G201*B202)</f>
        <v>41.00026417135857</v>
      </c>
      <c r="D202">
        <f>IF(Eingabe_Ausgabe!$B$13=1,Berechnung!D201+dt*g,D201+H201*B202)</f>
        <v>-327.1905527945486</v>
      </c>
      <c r="E202">
        <f>0.5*roh_luft*Eingabe_Ausgabe!$B$7*(C202*C202+D202*D202)</f>
        <v>7697799.435384053</v>
      </c>
      <c r="F202">
        <f t="shared" si="30"/>
        <v>-1.4461360649864756</v>
      </c>
      <c r="G202">
        <f>IF(Eingabe_Ausgabe!$B$13=1,0,-COS(F202)*E202/m)</f>
        <v>0</v>
      </c>
      <c r="H202">
        <f>IF(Eingabe_Ausgabe!$B$13=1,g,g-SIN(F202)*E202/m)</f>
        <v>-9.81</v>
      </c>
      <c r="I202" s="4">
        <f t="shared" si="29"/>
        <v>0</v>
      </c>
      <c r="J202" s="4">
        <f t="shared" si="28"/>
        <v>0</v>
      </c>
      <c r="K202">
        <f aca="true" t="shared" si="31" ref="K202:K265">IF(N201&lt;=0,0,SQRT(C202*C202+D202*D202)*3.6)</f>
        <v>0</v>
      </c>
      <c r="L202">
        <f aca="true" t="shared" si="32" ref="L202:L265">DEGREES(F202)</f>
        <v>-82.8574931253816</v>
      </c>
      <c r="M202">
        <f aca="true" t="shared" si="33" ref="M202:M265">M201+C202*B202</f>
        <v>38378.29727760013</v>
      </c>
      <c r="N202">
        <f aca="true" t="shared" si="34" ref="N202:N265">N201+D202*B202</f>
        <v>-275382.235343337</v>
      </c>
      <c r="O202">
        <f aca="true" t="shared" si="35" ref="O202:O265">O201+$C$9*B202</f>
        <v>38378.29727760013</v>
      </c>
      <c r="P202">
        <f aca="true" t="shared" si="36" ref="P202:P265">P201+v_Anfang*SIN(alpha)*B202+g/2*B202*B202</f>
        <v>-245768.1874808372</v>
      </c>
    </row>
    <row r="203" spans="2:16" ht="15">
      <c r="B203">
        <f aca="true" t="shared" si="37" ref="B203:B266">$B$10+B202</f>
        <v>9.700000000000003</v>
      </c>
      <c r="C203">
        <f>IF(Eingabe_Ausgabe!$B$13=1,Berechnung!C202,C202+G202*B203)</f>
        <v>41.00026417135857</v>
      </c>
      <c r="D203">
        <f>IF(Eingabe_Ausgabe!$B$13=1,Berechnung!D202+dt*g,D202+H202*B203)</f>
        <v>-327.6810527945486</v>
      </c>
      <c r="E203">
        <f>0.5*roh_luft*Eingabe_Ausgabe!$B$7*(C203*C203+D203*D203)</f>
        <v>7720539.604220931</v>
      </c>
      <c r="F203">
        <f t="shared" si="30"/>
        <v>-1.4463207437927075</v>
      </c>
      <c r="G203">
        <f>IF(Eingabe_Ausgabe!$B$13=1,0,-COS(F203)*E203/m)</f>
        <v>0</v>
      </c>
      <c r="H203">
        <f>IF(Eingabe_Ausgabe!$B$13=1,g,g-SIN(F203)*E203/m)</f>
        <v>-9.81</v>
      </c>
      <c r="I203" s="4">
        <f t="shared" si="29"/>
        <v>0</v>
      </c>
      <c r="J203" s="4">
        <f aca="true" t="shared" si="38" ref="J203:J266">IF($B$1*3.6&lt;=K203,1,0)</f>
        <v>0</v>
      </c>
      <c r="K203">
        <f t="shared" si="31"/>
        <v>0</v>
      </c>
      <c r="L203">
        <f t="shared" si="32"/>
        <v>-82.8680744415442</v>
      </c>
      <c r="M203">
        <f t="shared" si="33"/>
        <v>38775.99984006231</v>
      </c>
      <c r="N203">
        <f t="shared" si="34"/>
        <v>-278560.74155544414</v>
      </c>
      <c r="O203">
        <f t="shared" si="35"/>
        <v>38775.99984006231</v>
      </c>
      <c r="P203">
        <f t="shared" si="36"/>
        <v>-248485.1822429443</v>
      </c>
    </row>
    <row r="204" spans="2:16" ht="15">
      <c r="B204">
        <f t="shared" si="37"/>
        <v>9.750000000000004</v>
      </c>
      <c r="C204">
        <f>IF(Eingabe_Ausgabe!$B$13=1,Berechnung!C203,C203+G203*B204)</f>
        <v>41.00026417135857</v>
      </c>
      <c r="D204">
        <f>IF(Eingabe_Ausgabe!$B$13=1,Berechnung!D203+dt*g,D203+H203*B204)</f>
        <v>-328.1715527945486</v>
      </c>
      <c r="E204">
        <f>0.5*roh_luft*Eingabe_Ausgabe!$B$7*(C204*C204+D204*D204)</f>
        <v>7743313.837911805</v>
      </c>
      <c r="F204">
        <f t="shared" si="30"/>
        <v>-1.44650487903749</v>
      </c>
      <c r="G204">
        <f>IF(Eingabe_Ausgabe!$B$13=1,0,-COS(F204)*E204/m)</f>
        <v>0</v>
      </c>
      <c r="H204">
        <f>IF(Eingabe_Ausgabe!$B$13=1,g,g-SIN(F204)*E204/m)</f>
        <v>-9.81</v>
      </c>
      <c r="I204" s="4">
        <f aca="true" t="shared" si="39" ref="I204:I267">IF(AND(N204&lt;=0,I203=0,N203&gt;0),1,0)</f>
        <v>0</v>
      </c>
      <c r="J204" s="4">
        <f t="shared" si="38"/>
        <v>0</v>
      </c>
      <c r="K204">
        <f t="shared" si="31"/>
        <v>0</v>
      </c>
      <c r="L204">
        <f t="shared" si="32"/>
        <v>-82.87862461392984</v>
      </c>
      <c r="M204">
        <f t="shared" si="33"/>
        <v>39175.752415733055</v>
      </c>
      <c r="N204">
        <f t="shared" si="34"/>
        <v>-281760.414195191</v>
      </c>
      <c r="O204">
        <f t="shared" si="35"/>
        <v>39175.752415733055</v>
      </c>
      <c r="P204">
        <f t="shared" si="36"/>
        <v>-251218.57332019115</v>
      </c>
    </row>
    <row r="205" spans="2:16" ht="15">
      <c r="B205">
        <f t="shared" si="37"/>
        <v>9.800000000000004</v>
      </c>
      <c r="C205">
        <f>IF(Eingabe_Ausgabe!$B$13=1,Berechnung!C204,C204+G204*B205)</f>
        <v>41.00026417135857</v>
      </c>
      <c r="D205">
        <f>IF(Eingabe_Ausgabe!$B$13=1,Berechnung!D204+dt*g,D204+H204*B205)</f>
        <v>-328.6620527945486</v>
      </c>
      <c r="E205">
        <f>0.5*roh_luft*Eingabe_Ausgabe!$B$7*(C205*C205+D205*D205)</f>
        <v>7766122.136456671</v>
      </c>
      <c r="F205">
        <f t="shared" si="30"/>
        <v>-1.446688473104645</v>
      </c>
      <c r="G205">
        <f>IF(Eingabe_Ausgabe!$B$13=1,0,-COS(F205)*E205/m)</f>
        <v>0</v>
      </c>
      <c r="H205">
        <f>IF(Eingabe_Ausgabe!$B$13=1,g,g-SIN(F205)*E205/m)</f>
        <v>-9.81</v>
      </c>
      <c r="I205" s="4">
        <f t="shared" si="39"/>
        <v>0</v>
      </c>
      <c r="J205" s="4">
        <f t="shared" si="38"/>
        <v>0</v>
      </c>
      <c r="K205">
        <f t="shared" si="31"/>
        <v>0</v>
      </c>
      <c r="L205">
        <f t="shared" si="32"/>
        <v>-82.88914377912147</v>
      </c>
      <c r="M205">
        <f t="shared" si="33"/>
        <v>39577.55500461237</v>
      </c>
      <c r="N205">
        <f t="shared" si="34"/>
        <v>-284981.30231257755</v>
      </c>
      <c r="O205">
        <f t="shared" si="35"/>
        <v>39577.55500461237</v>
      </c>
      <c r="P205">
        <f t="shared" si="36"/>
        <v>-253968.38523757775</v>
      </c>
    </row>
    <row r="206" spans="2:16" ht="15">
      <c r="B206">
        <f t="shared" si="37"/>
        <v>9.850000000000005</v>
      </c>
      <c r="C206">
        <f>IF(Eingabe_Ausgabe!$B$13=1,Berechnung!C205,C205+G205*B206)</f>
        <v>41.00026417135857</v>
      </c>
      <c r="D206">
        <f>IF(Eingabe_Ausgabe!$B$13=1,Berechnung!D205+dt*g,D205+H205*B206)</f>
        <v>-329.15255279454857</v>
      </c>
      <c r="E206">
        <f>0.5*roh_luft*Eingabe_Ausgabe!$B$7*(C206*C206+D206*D206)</f>
        <v>7788964.49985553</v>
      </c>
      <c r="F206">
        <f t="shared" si="30"/>
        <v>-1.4468715283641498</v>
      </c>
      <c r="G206">
        <f>IF(Eingabe_Ausgabe!$B$13=1,0,-COS(F206)*E206/m)</f>
        <v>0</v>
      </c>
      <c r="H206">
        <f>IF(Eingabe_Ausgabe!$B$13=1,g,g-SIN(F206)*E206/m)</f>
        <v>-9.81</v>
      </c>
      <c r="I206" s="4">
        <f t="shared" si="39"/>
        <v>0</v>
      </c>
      <c r="J206" s="4">
        <f t="shared" si="38"/>
        <v>0</v>
      </c>
      <c r="K206">
        <f t="shared" si="31"/>
        <v>0</v>
      </c>
      <c r="L206">
        <f t="shared" si="32"/>
        <v>-82.89963207290876</v>
      </c>
      <c r="M206">
        <f t="shared" si="33"/>
        <v>39981.40760670025</v>
      </c>
      <c r="N206">
        <f t="shared" si="34"/>
        <v>-288223.4549576039</v>
      </c>
      <c r="O206">
        <f t="shared" si="35"/>
        <v>39981.40760670025</v>
      </c>
      <c r="P206">
        <f t="shared" si="36"/>
        <v>-256734.64252010407</v>
      </c>
    </row>
    <row r="207" spans="2:16" ht="15">
      <c r="B207">
        <f t="shared" si="37"/>
        <v>9.900000000000006</v>
      </c>
      <c r="C207">
        <f>IF(Eingabe_Ausgabe!$B$13=1,Berechnung!C206,C206+G206*B207)</f>
        <v>41.00026417135857</v>
      </c>
      <c r="D207">
        <f>IF(Eingabe_Ausgabe!$B$13=1,Berechnung!D206+dt*g,D206+H206*B207)</f>
        <v>-329.64305279454857</v>
      </c>
      <c r="E207">
        <f>0.5*roh_luft*Eingabe_Ausgabe!$B$7*(C207*C207+D207*D207)</f>
        <v>7811840.928108384</v>
      </c>
      <c r="F207">
        <f t="shared" si="30"/>
        <v>-1.4470540471722346</v>
      </c>
      <c r="G207">
        <f>IF(Eingabe_Ausgabe!$B$13=1,0,-COS(F207)*E207/m)</f>
        <v>0</v>
      </c>
      <c r="H207">
        <f>IF(Eingabe_Ausgabe!$B$13=1,g,g-SIN(F207)*E207/m)</f>
        <v>-9.81</v>
      </c>
      <c r="I207" s="4">
        <f t="shared" si="39"/>
        <v>0</v>
      </c>
      <c r="J207" s="4">
        <f t="shared" si="38"/>
        <v>0</v>
      </c>
      <c r="K207">
        <f t="shared" si="31"/>
        <v>0</v>
      </c>
      <c r="L207">
        <f t="shared" si="32"/>
        <v>-82.91008963029378</v>
      </c>
      <c r="M207">
        <f t="shared" si="33"/>
        <v>40387.310221996704</v>
      </c>
      <c r="N207">
        <f t="shared" si="34"/>
        <v>-291486.9211802699</v>
      </c>
      <c r="O207">
        <f t="shared" si="35"/>
        <v>40387.310221996704</v>
      </c>
      <c r="P207">
        <f t="shared" si="36"/>
        <v>-259517.36969277012</v>
      </c>
    </row>
    <row r="208" spans="2:16" ht="15">
      <c r="B208">
        <f t="shared" si="37"/>
        <v>9.950000000000006</v>
      </c>
      <c r="C208">
        <f>IF(Eingabe_Ausgabe!$B$13=1,Berechnung!C207,C207+G207*B208)</f>
        <v>41.00026417135857</v>
      </c>
      <c r="D208">
        <f>IF(Eingabe_Ausgabe!$B$13=1,Berechnung!D207+dt*g,D207+H207*B208)</f>
        <v>-330.13355279454856</v>
      </c>
      <c r="E208">
        <f>0.5*roh_luft*Eingabe_Ausgabe!$B$7*(C208*C208+D208*D208)</f>
        <v>7834751.421215232</v>
      </c>
      <c r="F208">
        <f t="shared" si="30"/>
        <v>-1.4472360318714836</v>
      </c>
      <c r="G208">
        <f>IF(Eingabe_Ausgabe!$B$13=1,0,-COS(F208)*E208/m)</f>
        <v>0</v>
      </c>
      <c r="H208">
        <f>IF(Eingabe_Ausgabe!$B$13=1,g,g-SIN(F208)*E208/m)</f>
        <v>-9.81</v>
      </c>
      <c r="I208" s="4">
        <f t="shared" si="39"/>
        <v>0</v>
      </c>
      <c r="J208" s="4">
        <f t="shared" si="38"/>
        <v>0</v>
      </c>
      <c r="K208">
        <f t="shared" si="31"/>
        <v>0</v>
      </c>
      <c r="L208">
        <f t="shared" si="32"/>
        <v>-82.92051658549671</v>
      </c>
      <c r="M208">
        <f t="shared" si="33"/>
        <v>40795.26285050172</v>
      </c>
      <c r="N208">
        <f t="shared" si="34"/>
        <v>-294771.75003057567</v>
      </c>
      <c r="O208">
        <f t="shared" si="35"/>
        <v>40795.26285050172</v>
      </c>
      <c r="P208">
        <f t="shared" si="36"/>
        <v>-262316.5912805759</v>
      </c>
    </row>
    <row r="209" spans="2:16" ht="15">
      <c r="B209">
        <f t="shared" si="37"/>
        <v>10.000000000000007</v>
      </c>
      <c r="C209">
        <f>IF(Eingabe_Ausgabe!$B$13=1,Berechnung!C208,C208+G208*B209)</f>
        <v>41.00026417135857</v>
      </c>
      <c r="D209">
        <f>IF(Eingabe_Ausgabe!$B$13=1,Berechnung!D208+dt*g,D208+H208*B209)</f>
        <v>-330.62405279454856</v>
      </c>
      <c r="E209">
        <f>0.5*roh_luft*Eingabe_Ausgabe!$B$7*(C209*C209+D209*D209)</f>
        <v>7857695.979176073</v>
      </c>
      <c r="F209">
        <f t="shared" si="30"/>
        <v>-1.447417484790932</v>
      </c>
      <c r="G209">
        <f>IF(Eingabe_Ausgabe!$B$13=1,0,-COS(F209)*E209/m)</f>
        <v>0</v>
      </c>
      <c r="H209">
        <f>IF(Eingabe_Ausgabe!$B$13=1,g,g-SIN(F209)*E209/m)</f>
        <v>-9.81</v>
      </c>
      <c r="I209" s="4">
        <f t="shared" si="39"/>
        <v>0</v>
      </c>
      <c r="J209" s="4">
        <f t="shared" si="38"/>
        <v>0</v>
      </c>
      <c r="K209">
        <f t="shared" si="31"/>
        <v>0</v>
      </c>
      <c r="L209">
        <f t="shared" si="32"/>
        <v>-82.93091307196143</v>
      </c>
      <c r="M209">
        <f t="shared" si="33"/>
        <v>41205.26549221531</v>
      </c>
      <c r="N209">
        <f t="shared" si="34"/>
        <v>-298077.9905585212</v>
      </c>
      <c r="O209">
        <f t="shared" si="35"/>
        <v>41205.26549221531</v>
      </c>
      <c r="P209">
        <f t="shared" si="36"/>
        <v>-265132.3318085214</v>
      </c>
    </row>
    <row r="210" spans="2:16" ht="15">
      <c r="B210">
        <f t="shared" si="37"/>
        <v>10.050000000000008</v>
      </c>
      <c r="C210">
        <f>IF(Eingabe_Ausgabe!$B$13=1,Berechnung!C209,C209+G209*B210)</f>
        <v>41.00026417135857</v>
      </c>
      <c r="D210">
        <f>IF(Eingabe_Ausgabe!$B$13=1,Berechnung!D209+dt*g,D209+H209*B210)</f>
        <v>-331.11455279454856</v>
      </c>
      <c r="E210">
        <f>0.5*roh_luft*Eingabe_Ausgabe!$B$7*(C210*C210+D210*D210)</f>
        <v>7880674.601990907</v>
      </c>
      <c r="F210">
        <f t="shared" si="30"/>
        <v>-1.447598408246163</v>
      </c>
      <c r="G210">
        <f>IF(Eingabe_Ausgabe!$B$13=1,0,-COS(F210)*E210/m)</f>
        <v>0</v>
      </c>
      <c r="H210">
        <f>IF(Eingabe_Ausgabe!$B$13=1,g,g-SIN(F210)*E210/m)</f>
        <v>-9.81</v>
      </c>
      <c r="I210" s="4">
        <f t="shared" si="39"/>
        <v>0</v>
      </c>
      <c r="J210" s="4">
        <f t="shared" si="38"/>
        <v>0</v>
      </c>
      <c r="K210">
        <f t="shared" si="31"/>
        <v>0</v>
      </c>
      <c r="L210">
        <f t="shared" si="32"/>
        <v>-82.94127922236109</v>
      </c>
      <c r="M210">
        <f t="shared" si="33"/>
        <v>41617.31814713746</v>
      </c>
      <c r="N210">
        <f t="shared" si="34"/>
        <v>-301405.6918141064</v>
      </c>
      <c r="O210">
        <f t="shared" si="35"/>
        <v>41617.31814713746</v>
      </c>
      <c r="P210">
        <f t="shared" si="36"/>
        <v>-267964.6158016066</v>
      </c>
    </row>
    <row r="211" spans="2:16" ht="15">
      <c r="B211">
        <f t="shared" si="37"/>
        <v>10.100000000000009</v>
      </c>
      <c r="C211">
        <f>IF(Eingabe_Ausgabe!$B$13=1,Berechnung!C210,C210+G210*B211)</f>
        <v>41.00026417135857</v>
      </c>
      <c r="D211">
        <f>IF(Eingabe_Ausgabe!$B$13=1,Berechnung!D210+dt*g,D210+H210*B211)</f>
        <v>-331.60505279454856</v>
      </c>
      <c r="E211">
        <f>0.5*roh_luft*Eingabe_Ausgabe!$B$7*(C211*C211+D211*D211)</f>
        <v>7903687.289659736</v>
      </c>
      <c r="F211">
        <f t="shared" si="30"/>
        <v>-1.4477788045394058</v>
      </c>
      <c r="G211">
        <f>IF(Eingabe_Ausgabe!$B$13=1,0,-COS(F211)*E211/m)</f>
        <v>0</v>
      </c>
      <c r="H211">
        <f>IF(Eingabe_Ausgabe!$B$13=1,g,g-SIN(F211)*E211/m)</f>
        <v>-9.81</v>
      </c>
      <c r="I211" s="4">
        <f t="shared" si="39"/>
        <v>0</v>
      </c>
      <c r="J211" s="4">
        <f t="shared" si="38"/>
        <v>0</v>
      </c>
      <c r="K211">
        <f t="shared" si="31"/>
        <v>0</v>
      </c>
      <c r="L211">
        <f t="shared" si="32"/>
        <v>-82.9516151686037</v>
      </c>
      <c r="M211">
        <f t="shared" si="33"/>
        <v>42031.42081526818</v>
      </c>
      <c r="N211">
        <f t="shared" si="34"/>
        <v>-304754.90284733137</v>
      </c>
      <c r="O211">
        <f t="shared" si="35"/>
        <v>42031.42081526818</v>
      </c>
      <c r="P211">
        <f t="shared" si="36"/>
        <v>-270813.4677848316</v>
      </c>
    </row>
    <row r="212" spans="2:16" ht="15">
      <c r="B212">
        <f t="shared" si="37"/>
        <v>10.15000000000001</v>
      </c>
      <c r="C212">
        <f>IF(Eingabe_Ausgabe!$B$13=1,Berechnung!C211,C211+G211*B212)</f>
        <v>41.00026417135857</v>
      </c>
      <c r="D212">
        <f>IF(Eingabe_Ausgabe!$B$13=1,Berechnung!D211+dt*g,D211+H211*B212)</f>
        <v>-332.09555279454855</v>
      </c>
      <c r="E212">
        <f>0.5*roh_luft*Eingabe_Ausgabe!$B$7*(C212*C212+D212*D212)</f>
        <v>7926734.042182557</v>
      </c>
      <c r="F212">
        <f t="shared" si="30"/>
        <v>-1.4479586759596295</v>
      </c>
      <c r="G212">
        <f>IF(Eingabe_Ausgabe!$B$13=1,0,-COS(F212)*E212/m)</f>
        <v>0</v>
      </c>
      <c r="H212">
        <f>IF(Eingabe_Ausgabe!$B$13=1,g,g-SIN(F212)*E212/m)</f>
        <v>-9.81</v>
      </c>
      <c r="I212" s="4">
        <f t="shared" si="39"/>
        <v>0</v>
      </c>
      <c r="J212" s="4">
        <f t="shared" si="38"/>
        <v>0</v>
      </c>
      <c r="K212">
        <f t="shared" si="31"/>
        <v>0</v>
      </c>
      <c r="L212">
        <f t="shared" si="32"/>
        <v>-82.96192104183754</v>
      </c>
      <c r="M212">
        <f t="shared" si="33"/>
        <v>42447.573496607474</v>
      </c>
      <c r="N212">
        <f t="shared" si="34"/>
        <v>-308125.67270819604</v>
      </c>
      <c r="O212">
        <f t="shared" si="35"/>
        <v>42447.573496607474</v>
      </c>
      <c r="P212">
        <f t="shared" si="36"/>
        <v>-273678.91228319623</v>
      </c>
    </row>
    <row r="213" spans="2:16" ht="15">
      <c r="B213">
        <f t="shared" si="37"/>
        <v>10.20000000000001</v>
      </c>
      <c r="C213">
        <f>IF(Eingabe_Ausgabe!$B$13=1,Berechnung!C212,C212+G212*B213)</f>
        <v>41.00026417135857</v>
      </c>
      <c r="D213">
        <f>IF(Eingabe_Ausgabe!$B$13=1,Berechnung!D212+dt*g,D212+H212*B213)</f>
        <v>-332.58605279454855</v>
      </c>
      <c r="E213">
        <f>0.5*roh_luft*Eingabe_Ausgabe!$B$7*(C213*C213+D213*D213)</f>
        <v>7949814.859559373</v>
      </c>
      <c r="F213">
        <f t="shared" si="30"/>
        <v>-1.4481380247826385</v>
      </c>
      <c r="G213">
        <f>IF(Eingabe_Ausgabe!$B$13=1,0,-COS(F213)*E213/m)</f>
        <v>0</v>
      </c>
      <c r="H213">
        <f>IF(Eingabe_Ausgabe!$B$13=1,g,g-SIN(F213)*E213/m)</f>
        <v>-9.81</v>
      </c>
      <c r="I213" s="4">
        <f t="shared" si="39"/>
        <v>0</v>
      </c>
      <c r="J213" s="4">
        <f t="shared" si="38"/>
        <v>0</v>
      </c>
      <c r="K213">
        <f t="shared" si="31"/>
        <v>0</v>
      </c>
      <c r="L213">
        <f t="shared" si="32"/>
        <v>-82.9721969724566</v>
      </c>
      <c r="M213">
        <f t="shared" si="33"/>
        <v>42865.77619115533</v>
      </c>
      <c r="N213">
        <f t="shared" si="34"/>
        <v>-311518.0504467004</v>
      </c>
      <c r="O213">
        <f t="shared" si="35"/>
        <v>42865.77619115533</v>
      </c>
      <c r="P213">
        <f t="shared" si="36"/>
        <v>-276560.9738217006</v>
      </c>
    </row>
    <row r="214" spans="2:16" ht="15">
      <c r="B214">
        <f t="shared" si="37"/>
        <v>10.25000000000001</v>
      </c>
      <c r="C214">
        <f>IF(Eingabe_Ausgabe!$B$13=1,Berechnung!C213,C213+G213*B214)</f>
        <v>41.00026417135857</v>
      </c>
      <c r="D214">
        <f>IF(Eingabe_Ausgabe!$B$13=1,Berechnung!D213+dt*g,D213+H213*B214)</f>
        <v>-333.07655279454855</v>
      </c>
      <c r="E214">
        <f>0.5*roh_luft*Eingabe_Ausgabe!$B$7*(C214*C214+D214*D214)</f>
        <v>7972929.741790182</v>
      </c>
      <c r="F214">
        <f t="shared" si="30"/>
        <v>-1.448316853271167</v>
      </c>
      <c r="G214">
        <f>IF(Eingabe_Ausgabe!$B$13=1,0,-COS(F214)*E214/m)</f>
        <v>0</v>
      </c>
      <c r="H214">
        <f>IF(Eingabe_Ausgabe!$B$13=1,g,g-SIN(F214)*E214/m)</f>
        <v>-9.81</v>
      </c>
      <c r="I214" s="4">
        <f t="shared" si="39"/>
        <v>0</v>
      </c>
      <c r="J214" s="4">
        <f t="shared" si="38"/>
        <v>0</v>
      </c>
      <c r="K214">
        <f t="shared" si="31"/>
        <v>0</v>
      </c>
      <c r="L214">
        <f t="shared" si="32"/>
        <v>-82.98244309010599</v>
      </c>
      <c r="M214">
        <f t="shared" si="33"/>
        <v>43286.028898911754</v>
      </c>
      <c r="N214">
        <f t="shared" si="34"/>
        <v>-314932.08511284454</v>
      </c>
      <c r="O214">
        <f t="shared" si="35"/>
        <v>43286.028898911754</v>
      </c>
      <c r="P214">
        <f t="shared" si="36"/>
        <v>-279459.67692534474</v>
      </c>
    </row>
    <row r="215" spans="2:16" ht="15">
      <c r="B215">
        <f t="shared" si="37"/>
        <v>10.300000000000011</v>
      </c>
      <c r="C215">
        <f>IF(Eingabe_Ausgabe!$B$13=1,Berechnung!C214,C214+G214*B215)</f>
        <v>41.00026417135857</v>
      </c>
      <c r="D215">
        <f>IF(Eingabe_Ausgabe!$B$13=1,Berechnung!D214+dt*g,D214+H214*B215)</f>
        <v>-333.56705279454854</v>
      </c>
      <c r="E215">
        <f>0.5*roh_luft*Eingabe_Ausgabe!$B$7*(C215*C215+D215*D215)</f>
        <v>7996078.688874984</v>
      </c>
      <c r="F215">
        <f t="shared" si="30"/>
        <v>-1.448495163674972</v>
      </c>
      <c r="G215">
        <f>IF(Eingabe_Ausgabe!$B$13=1,0,-COS(F215)*E215/m)</f>
        <v>0</v>
      </c>
      <c r="H215">
        <f>IF(Eingabe_Ausgabe!$B$13=1,g,g-SIN(F215)*E215/m)</f>
        <v>-9.81</v>
      </c>
      <c r="I215" s="4">
        <f t="shared" si="39"/>
        <v>0</v>
      </c>
      <c r="J215" s="4">
        <f t="shared" si="38"/>
        <v>0</v>
      </c>
      <c r="K215">
        <f t="shared" si="31"/>
        <v>0</v>
      </c>
      <c r="L215">
        <f t="shared" si="32"/>
        <v>-82.9926595236873</v>
      </c>
      <c r="M215">
        <f t="shared" si="33"/>
        <v>43708.33161987675</v>
      </c>
      <c r="N215">
        <f t="shared" si="34"/>
        <v>-318367.8257566284</v>
      </c>
      <c r="O215">
        <f t="shared" si="35"/>
        <v>43708.33161987675</v>
      </c>
      <c r="P215">
        <f t="shared" si="36"/>
        <v>-282375.0461191286</v>
      </c>
    </row>
    <row r="216" spans="2:16" ht="15">
      <c r="B216">
        <f t="shared" si="37"/>
        <v>10.350000000000012</v>
      </c>
      <c r="C216">
        <f>IF(Eingabe_Ausgabe!$B$13=1,Berechnung!C215,C215+G215*B216)</f>
        <v>41.00026417135857</v>
      </c>
      <c r="D216">
        <f>IF(Eingabe_Ausgabe!$B$13=1,Berechnung!D215+dt*g,D215+H215*B216)</f>
        <v>-334.05755279454854</v>
      </c>
      <c r="E216">
        <f>0.5*roh_luft*Eingabe_Ausgabe!$B$7*(C216*C216+D216*D216)</f>
        <v>8019261.7008137815</v>
      </c>
      <c r="F216">
        <f t="shared" si="30"/>
        <v>-1.4486729582309255</v>
      </c>
      <c r="G216">
        <f>IF(Eingabe_Ausgabe!$B$13=1,0,-COS(F216)*E216/m)</f>
        <v>0</v>
      </c>
      <c r="H216">
        <f>IF(Eingabe_Ausgabe!$B$13=1,g,g-SIN(F216)*E216/m)</f>
        <v>-9.81</v>
      </c>
      <c r="I216" s="4">
        <f t="shared" si="39"/>
        <v>0</v>
      </c>
      <c r="J216" s="4">
        <f t="shared" si="38"/>
        <v>0</v>
      </c>
      <c r="K216">
        <f t="shared" si="31"/>
        <v>0</v>
      </c>
      <c r="L216">
        <f t="shared" si="32"/>
        <v>-83.00284640136383</v>
      </c>
      <c r="M216">
        <f t="shared" si="33"/>
        <v>44132.68435405031</v>
      </c>
      <c r="N216">
        <f t="shared" si="34"/>
        <v>-321825.321428052</v>
      </c>
      <c r="O216">
        <f t="shared" si="35"/>
        <v>44132.68435405031</v>
      </c>
      <c r="P216">
        <f t="shared" si="36"/>
        <v>-285307.10592805216</v>
      </c>
    </row>
    <row r="217" spans="2:16" ht="15">
      <c r="B217">
        <f t="shared" si="37"/>
        <v>10.400000000000013</v>
      </c>
      <c r="C217">
        <f>IF(Eingabe_Ausgabe!$B$13=1,Berechnung!C216,C216+G216*B217)</f>
        <v>41.00026417135857</v>
      </c>
      <c r="D217">
        <f>IF(Eingabe_Ausgabe!$B$13=1,Berechnung!D216+dt*g,D216+H216*B217)</f>
        <v>-334.54805279454854</v>
      </c>
      <c r="E217">
        <f>0.5*roh_luft*Eingabe_Ausgabe!$B$7*(C217*C217+D217*D217)</f>
        <v>8042478.777606572</v>
      </c>
      <c r="F217">
        <f t="shared" si="30"/>
        <v>-1.4488502391631057</v>
      </c>
      <c r="G217">
        <f>IF(Eingabe_Ausgabe!$B$13=1,0,-COS(F217)*E217/m)</f>
        <v>0</v>
      </c>
      <c r="H217">
        <f>IF(Eingabe_Ausgabe!$B$13=1,g,g-SIN(F217)*E217/m)</f>
        <v>-9.81</v>
      </c>
      <c r="I217" s="4">
        <f t="shared" si="39"/>
        <v>0</v>
      </c>
      <c r="J217" s="4">
        <f t="shared" si="38"/>
        <v>0</v>
      </c>
      <c r="K217">
        <f t="shared" si="31"/>
        <v>0</v>
      </c>
      <c r="L217">
        <f t="shared" si="32"/>
        <v>-83.0130038505659</v>
      </c>
      <c r="M217">
        <f t="shared" si="33"/>
        <v>44559.08710143244</v>
      </c>
      <c r="N217">
        <f t="shared" si="34"/>
        <v>-325304.6211771153</v>
      </c>
      <c r="O217">
        <f t="shared" si="35"/>
        <v>44559.08710143244</v>
      </c>
      <c r="P217">
        <f t="shared" si="36"/>
        <v>-288255.8808771155</v>
      </c>
    </row>
    <row r="218" spans="2:16" ht="15">
      <c r="B218">
        <f t="shared" si="37"/>
        <v>10.450000000000014</v>
      </c>
      <c r="C218">
        <f>IF(Eingabe_Ausgabe!$B$13=1,Berechnung!C217,C217+G217*B218)</f>
        <v>41.00026417135857</v>
      </c>
      <c r="D218">
        <f>IF(Eingabe_Ausgabe!$B$13=1,Berechnung!D217+dt*g,D217+H217*B218)</f>
        <v>-335.03855279454854</v>
      </c>
      <c r="E218">
        <f>0.5*roh_luft*Eingabe_Ausgabe!$B$7*(C218*C218+D218*D218)</f>
        <v>8065729.919253356</v>
      </c>
      <c r="F218">
        <f t="shared" si="30"/>
        <v>-1.449027008682889</v>
      </c>
      <c r="G218">
        <f>IF(Eingabe_Ausgabe!$B$13=1,0,-COS(F218)*E218/m)</f>
        <v>0</v>
      </c>
      <c r="H218">
        <f>IF(Eingabe_Ausgabe!$B$13=1,g,g-SIN(F218)*E218/m)</f>
        <v>-9.81</v>
      </c>
      <c r="I218" s="4">
        <f t="shared" si="39"/>
        <v>0</v>
      </c>
      <c r="J218" s="4">
        <f t="shared" si="38"/>
        <v>0</v>
      </c>
      <c r="K218">
        <f t="shared" si="31"/>
        <v>0</v>
      </c>
      <c r="L218">
        <f t="shared" si="32"/>
        <v>-83.02313199799603</v>
      </c>
      <c r="M218">
        <f t="shared" si="33"/>
        <v>44987.539862023135</v>
      </c>
      <c r="N218">
        <f t="shared" si="34"/>
        <v>-328805.7740538183</v>
      </c>
      <c r="O218">
        <f t="shared" si="35"/>
        <v>44987.539862023135</v>
      </c>
      <c r="P218">
        <f t="shared" si="36"/>
        <v>-291221.3954913185</v>
      </c>
    </row>
    <row r="219" spans="2:16" ht="15">
      <c r="B219">
        <f t="shared" si="37"/>
        <v>10.500000000000014</v>
      </c>
      <c r="C219">
        <f>IF(Eingabe_Ausgabe!$B$13=1,Berechnung!C218,C218+G218*B219)</f>
        <v>41.00026417135857</v>
      </c>
      <c r="D219">
        <f>IF(Eingabe_Ausgabe!$B$13=1,Berechnung!D218+dt*g,D218+H218*B219)</f>
        <v>-335.52905279454853</v>
      </c>
      <c r="E219">
        <f>0.5*roh_luft*Eingabe_Ausgabe!$B$7*(C219*C219+D219*D219)</f>
        <v>8089015.125754132</v>
      </c>
      <c r="F219">
        <f t="shared" si="30"/>
        <v>-1.449203268989039</v>
      </c>
      <c r="G219">
        <f>IF(Eingabe_Ausgabe!$B$13=1,0,-COS(F219)*E219/m)</f>
        <v>0</v>
      </c>
      <c r="H219">
        <f>IF(Eingabe_Ausgabe!$B$13=1,g,g-SIN(F219)*E219/m)</f>
        <v>-9.81</v>
      </c>
      <c r="I219" s="4">
        <f t="shared" si="39"/>
        <v>0</v>
      </c>
      <c r="J219" s="4">
        <f t="shared" si="38"/>
        <v>0</v>
      </c>
      <c r="K219">
        <f t="shared" si="31"/>
        <v>0</v>
      </c>
      <c r="L219">
        <f t="shared" si="32"/>
        <v>-83.03323096963412</v>
      </c>
      <c r="M219">
        <f t="shared" si="33"/>
        <v>45418.0426358224</v>
      </c>
      <c r="N219">
        <f t="shared" si="34"/>
        <v>-332328.8291081611</v>
      </c>
      <c r="O219">
        <f t="shared" si="35"/>
        <v>45418.0426358224</v>
      </c>
      <c r="P219">
        <f t="shared" si="36"/>
        <v>-294203.6742956613</v>
      </c>
    </row>
    <row r="220" spans="2:16" ht="15">
      <c r="B220">
        <f t="shared" si="37"/>
        <v>10.550000000000015</v>
      </c>
      <c r="C220">
        <f>IF(Eingabe_Ausgabe!$B$13=1,Berechnung!C219,C219+G219*B220)</f>
        <v>41.00026417135857</v>
      </c>
      <c r="D220">
        <f>IF(Eingabe_Ausgabe!$B$13=1,Berechnung!D219+dt*g,D219+H219*B220)</f>
        <v>-336.01955279454853</v>
      </c>
      <c r="E220">
        <f>0.5*roh_luft*Eingabe_Ausgabe!$B$7*(C220*C220+D220*D220)</f>
        <v>8112334.397108903</v>
      </c>
      <c r="F220">
        <f t="shared" si="30"/>
        <v>-1.449379022267797</v>
      </c>
      <c r="G220">
        <f>IF(Eingabe_Ausgabe!$B$13=1,0,-COS(F220)*E220/m)</f>
        <v>0</v>
      </c>
      <c r="H220">
        <f>IF(Eingabe_Ausgabe!$B$13=1,g,g-SIN(F220)*E220/m)</f>
        <v>-9.81</v>
      </c>
      <c r="I220" s="4">
        <f t="shared" si="39"/>
        <v>0</v>
      </c>
      <c r="J220" s="4">
        <f t="shared" si="38"/>
        <v>0</v>
      </c>
      <c r="K220">
        <f t="shared" si="31"/>
        <v>0</v>
      </c>
      <c r="L220">
        <f t="shared" si="32"/>
        <v>-83.04330089074253</v>
      </c>
      <c r="M220">
        <f t="shared" si="33"/>
        <v>45850.595422830236</v>
      </c>
      <c r="N220">
        <f t="shared" si="34"/>
        <v>-335873.83539014356</v>
      </c>
      <c r="O220">
        <f t="shared" si="35"/>
        <v>45850.595422830236</v>
      </c>
      <c r="P220">
        <f t="shared" si="36"/>
        <v>-297202.7418151438</v>
      </c>
    </row>
    <row r="221" spans="2:16" ht="15">
      <c r="B221">
        <f t="shared" si="37"/>
        <v>10.600000000000016</v>
      </c>
      <c r="C221">
        <f>IF(Eingabe_Ausgabe!$B$13=1,Berechnung!C220,C220+G220*B221)</f>
        <v>41.00026417135857</v>
      </c>
      <c r="D221">
        <f>IF(Eingabe_Ausgabe!$B$13=1,Berechnung!D220+dt*g,D220+H220*B221)</f>
        <v>-336.5100527945485</v>
      </c>
      <c r="E221">
        <f>0.5*roh_luft*Eingabe_Ausgabe!$B$7*(C221*C221+D221*D221)</f>
        <v>8135687.733317668</v>
      </c>
      <c r="F221">
        <f t="shared" si="30"/>
        <v>-1.4495542706929685</v>
      </c>
      <c r="G221">
        <f>IF(Eingabe_Ausgabe!$B$13=1,0,-COS(F221)*E221/m)</f>
        <v>0</v>
      </c>
      <c r="H221">
        <f>IF(Eingabe_Ausgabe!$B$13=1,g,g-SIN(F221)*E221/m)</f>
        <v>-9.81</v>
      </c>
      <c r="I221" s="4">
        <f t="shared" si="39"/>
        <v>0</v>
      </c>
      <c r="J221" s="4">
        <f t="shared" si="38"/>
        <v>0</v>
      </c>
      <c r="K221">
        <f t="shared" si="31"/>
        <v>0</v>
      </c>
      <c r="L221">
        <f t="shared" si="32"/>
        <v>-83.05334188587118</v>
      </c>
      <c r="M221">
        <f t="shared" si="33"/>
        <v>46285.19822304664</v>
      </c>
      <c r="N221">
        <f t="shared" si="34"/>
        <v>-339440.8419497658</v>
      </c>
      <c r="O221">
        <f t="shared" si="35"/>
        <v>46285.19822304664</v>
      </c>
      <c r="P221">
        <f t="shared" si="36"/>
        <v>-300218.622574766</v>
      </c>
    </row>
    <row r="222" spans="2:16" ht="15">
      <c r="B222">
        <f t="shared" si="37"/>
        <v>10.650000000000016</v>
      </c>
      <c r="C222">
        <f>IF(Eingabe_Ausgabe!$B$13=1,Berechnung!C221,C221+G221*B222)</f>
        <v>41.00026417135857</v>
      </c>
      <c r="D222">
        <f>IF(Eingabe_Ausgabe!$B$13=1,Berechnung!D221+dt*g,D221+H221*B222)</f>
        <v>-337.0005527945485</v>
      </c>
      <c r="E222">
        <f>0.5*roh_luft*Eingabe_Ausgabe!$B$7*(C222*C222+D222*D222)</f>
        <v>8159075.134380426</v>
      </c>
      <c r="F222">
        <f t="shared" si="30"/>
        <v>-1.449729016426014</v>
      </c>
      <c r="G222">
        <f>IF(Eingabe_Ausgabe!$B$13=1,0,-COS(F222)*E222/m)</f>
        <v>0</v>
      </c>
      <c r="H222">
        <f>IF(Eingabe_Ausgabe!$B$13=1,g,g-SIN(F222)*E222/m)</f>
        <v>-9.81</v>
      </c>
      <c r="I222" s="4">
        <f t="shared" si="39"/>
        <v>0</v>
      </c>
      <c r="J222" s="4">
        <f t="shared" si="38"/>
        <v>0</v>
      </c>
      <c r="K222">
        <f t="shared" si="31"/>
        <v>0</v>
      </c>
      <c r="L222">
        <f t="shared" si="32"/>
        <v>-83.0633540788626</v>
      </c>
      <c r="M222">
        <f t="shared" si="33"/>
        <v>46721.851036471606</v>
      </c>
      <c r="N222">
        <f t="shared" si="34"/>
        <v>-343029.89783702773</v>
      </c>
      <c r="O222">
        <f t="shared" si="35"/>
        <v>46721.851036471606</v>
      </c>
      <c r="P222">
        <f t="shared" si="36"/>
        <v>-303251.34109952796</v>
      </c>
    </row>
    <row r="223" spans="2:16" ht="15">
      <c r="B223">
        <f t="shared" si="37"/>
        <v>10.700000000000017</v>
      </c>
      <c r="C223">
        <f>IF(Eingabe_Ausgabe!$B$13=1,Berechnung!C222,C222+G222*B223)</f>
        <v>41.00026417135857</v>
      </c>
      <c r="D223">
        <f>IF(Eingabe_Ausgabe!$B$13=1,Berechnung!D222+dt*g,D222+H222*B223)</f>
        <v>-337.4910527945485</v>
      </c>
      <c r="E223">
        <f>0.5*roh_luft*Eingabe_Ausgabe!$B$7*(C223*C223+D223*D223)</f>
        <v>8182496.600297178</v>
      </c>
      <c r="F223">
        <f t="shared" si="30"/>
        <v>-1.4499032616161334</v>
      </c>
      <c r="G223">
        <f>IF(Eingabe_Ausgabe!$B$13=1,0,-COS(F223)*E223/m)</f>
        <v>0</v>
      </c>
      <c r="H223">
        <f>IF(Eingabe_Ausgabe!$B$13=1,g,g-SIN(F223)*E223/m)</f>
        <v>-9.81</v>
      </c>
      <c r="I223" s="4">
        <f t="shared" si="39"/>
        <v>0</v>
      </c>
      <c r="J223" s="4">
        <f t="shared" si="38"/>
        <v>0</v>
      </c>
      <c r="K223">
        <f t="shared" si="31"/>
        <v>0</v>
      </c>
      <c r="L223">
        <f t="shared" si="32"/>
        <v>-83.07333759285689</v>
      </c>
      <c r="M223">
        <f t="shared" si="33"/>
        <v>47160.553863105146</v>
      </c>
      <c r="N223">
        <f t="shared" si="34"/>
        <v>-346641.0521019294</v>
      </c>
      <c r="O223">
        <f t="shared" si="35"/>
        <v>47160.553863105146</v>
      </c>
      <c r="P223">
        <f t="shared" si="36"/>
        <v>-306300.92191442964</v>
      </c>
    </row>
    <row r="224" spans="2:16" ht="15">
      <c r="B224">
        <f t="shared" si="37"/>
        <v>10.750000000000018</v>
      </c>
      <c r="C224">
        <f>IF(Eingabe_Ausgabe!$B$13=1,Berechnung!C223,C223+G223*B224)</f>
        <v>41.00026417135857</v>
      </c>
      <c r="D224">
        <f>IF(Eingabe_Ausgabe!$B$13=1,Berechnung!D223+dt*g,D223+H223*B224)</f>
        <v>-337.9815527945485</v>
      </c>
      <c r="E224">
        <f>0.5*roh_luft*Eingabe_Ausgabe!$B$7*(C224*C224+D224*D224)</f>
        <v>8205952.131067924</v>
      </c>
      <c r="F224">
        <f t="shared" si="30"/>
        <v>-1.4500770084003536</v>
      </c>
      <c r="G224">
        <f>IF(Eingabe_Ausgabe!$B$13=1,0,-COS(F224)*E224/m)</f>
        <v>0</v>
      </c>
      <c r="H224">
        <f>IF(Eingabe_Ausgabe!$B$13=1,g,g-SIN(F224)*E224/m)</f>
        <v>-9.81</v>
      </c>
      <c r="I224" s="4">
        <f t="shared" si="39"/>
        <v>0</v>
      </c>
      <c r="J224" s="4">
        <f t="shared" si="38"/>
        <v>0</v>
      </c>
      <c r="K224">
        <f t="shared" si="31"/>
        <v>0</v>
      </c>
      <c r="L224">
        <f t="shared" si="32"/>
        <v>-83.08329255029668</v>
      </c>
      <c r="M224">
        <f t="shared" si="33"/>
        <v>47601.30670294725</v>
      </c>
      <c r="N224">
        <f t="shared" si="34"/>
        <v>-350274.3537944708</v>
      </c>
      <c r="O224">
        <f t="shared" si="35"/>
        <v>47601.30670294725</v>
      </c>
      <c r="P224">
        <f t="shared" si="36"/>
        <v>-309367.38954447105</v>
      </c>
    </row>
    <row r="225" spans="2:16" ht="15">
      <c r="B225">
        <f t="shared" si="37"/>
        <v>10.800000000000018</v>
      </c>
      <c r="C225">
        <f>IF(Eingabe_Ausgabe!$B$13=1,Berechnung!C224,C224+G224*B225)</f>
        <v>41.00026417135857</v>
      </c>
      <c r="D225">
        <f>IF(Eingabe_Ausgabe!$B$13=1,Berechnung!D224+dt*g,D224+H224*B225)</f>
        <v>-338.4720527945485</v>
      </c>
      <c r="E225">
        <f>0.5*roh_luft*Eingabe_Ausgabe!$B$7*(C225*C225+D225*D225)</f>
        <v>8229441.7266926635</v>
      </c>
      <c r="F225">
        <f t="shared" si="30"/>
        <v>-1.4502502589036144</v>
      </c>
      <c r="G225">
        <f>IF(Eingabe_Ausgabe!$B$13=1,0,-COS(F225)*E225/m)</f>
        <v>0</v>
      </c>
      <c r="H225">
        <f>IF(Eingabe_Ausgabe!$B$13=1,g,g-SIN(F225)*E225/m)</f>
        <v>-9.81</v>
      </c>
      <c r="I225" s="4">
        <f t="shared" si="39"/>
        <v>0</v>
      </c>
      <c r="J225" s="4">
        <f t="shared" si="38"/>
        <v>0</v>
      </c>
      <c r="K225">
        <f t="shared" si="31"/>
        <v>0</v>
      </c>
      <c r="L225">
        <f t="shared" si="32"/>
        <v>-83.09321907293204</v>
      </c>
      <c r="M225">
        <f t="shared" si="33"/>
        <v>48044.10955599792</v>
      </c>
      <c r="N225">
        <f t="shared" si="34"/>
        <v>-353929.8519646519</v>
      </c>
      <c r="O225">
        <f t="shared" si="35"/>
        <v>48044.10955599792</v>
      </c>
      <c r="P225">
        <f t="shared" si="36"/>
        <v>-312450.7685146522</v>
      </c>
    </row>
    <row r="226" spans="2:16" ht="15">
      <c r="B226">
        <f t="shared" si="37"/>
        <v>10.85000000000002</v>
      </c>
      <c r="C226">
        <f>IF(Eingabe_Ausgabe!$B$13=1,Berechnung!C225,C225+G225*B226)</f>
        <v>41.00026417135857</v>
      </c>
      <c r="D226">
        <f>IF(Eingabe_Ausgabe!$B$13=1,Berechnung!D225+dt*g,D225+H225*B226)</f>
        <v>-338.9625527945485</v>
      </c>
      <c r="E226">
        <f>0.5*roh_luft*Eingabe_Ausgabe!$B$7*(C226*C226+D226*D226)</f>
        <v>8252965.387171396</v>
      </c>
      <c r="F226">
        <f t="shared" si="30"/>
        <v>-1.4504230152388522</v>
      </c>
      <c r="G226">
        <f>IF(Eingabe_Ausgabe!$B$13=1,0,-COS(F226)*E226/m)</f>
        <v>0</v>
      </c>
      <c r="H226">
        <f>IF(Eingabe_Ausgabe!$B$13=1,g,g-SIN(F226)*E226/m)</f>
        <v>-9.81</v>
      </c>
      <c r="I226" s="4">
        <f t="shared" si="39"/>
        <v>0</v>
      </c>
      <c r="J226" s="4">
        <f t="shared" si="38"/>
        <v>0</v>
      </c>
      <c r="K226">
        <f t="shared" si="31"/>
        <v>0</v>
      </c>
      <c r="L226">
        <f t="shared" si="32"/>
        <v>-83.10311728182532</v>
      </c>
      <c r="M226">
        <f t="shared" si="33"/>
        <v>48488.962422257166</v>
      </c>
      <c r="N226">
        <f t="shared" si="34"/>
        <v>-357607.59566247277</v>
      </c>
      <c r="O226">
        <f t="shared" si="35"/>
        <v>48488.962422257166</v>
      </c>
      <c r="P226">
        <f t="shared" si="36"/>
        <v>-315551.0833499731</v>
      </c>
    </row>
    <row r="227" spans="2:16" ht="15">
      <c r="B227">
        <f t="shared" si="37"/>
        <v>10.90000000000002</v>
      </c>
      <c r="C227">
        <f>IF(Eingabe_Ausgabe!$B$13=1,Berechnung!C226,C226+G226*B227)</f>
        <v>41.00026417135857</v>
      </c>
      <c r="D227">
        <f>IF(Eingabe_Ausgabe!$B$13=1,Berechnung!D226+dt*g,D226+H226*B227)</f>
        <v>-339.4530527945485</v>
      </c>
      <c r="E227">
        <f>0.5*roh_luft*Eingabe_Ausgabe!$B$7*(C227*C227+D227*D227)</f>
        <v>8276523.112504122</v>
      </c>
      <c r="F227">
        <f t="shared" si="30"/>
        <v>-1.4505952795070856</v>
      </c>
      <c r="G227">
        <f>IF(Eingabe_Ausgabe!$B$13=1,0,-COS(F227)*E227/m)</f>
        <v>0</v>
      </c>
      <c r="H227">
        <f>IF(Eingabe_Ausgabe!$B$13=1,g,g-SIN(F227)*E227/m)</f>
        <v>-9.81</v>
      </c>
      <c r="I227" s="4">
        <f t="shared" si="39"/>
        <v>0</v>
      </c>
      <c r="J227" s="4">
        <f t="shared" si="38"/>
        <v>0</v>
      </c>
      <c r="K227">
        <f t="shared" si="31"/>
        <v>0</v>
      </c>
      <c r="L227">
        <f t="shared" si="32"/>
        <v>-83.112987297356</v>
      </c>
      <c r="M227">
        <f t="shared" si="33"/>
        <v>48935.865301724974</v>
      </c>
      <c r="N227">
        <f t="shared" si="34"/>
        <v>-361307.63393793337</v>
      </c>
      <c r="O227">
        <f t="shared" si="35"/>
        <v>48935.865301724974</v>
      </c>
      <c r="P227">
        <f t="shared" si="36"/>
        <v>-318668.35857543367</v>
      </c>
    </row>
    <row r="228" spans="2:16" ht="15">
      <c r="B228">
        <f t="shared" si="37"/>
        <v>10.95000000000002</v>
      </c>
      <c r="C228">
        <f>IF(Eingabe_Ausgabe!$B$13=1,Berechnung!C227,C227+G227*B228)</f>
        <v>41.00026417135857</v>
      </c>
      <c r="D228">
        <f>IF(Eingabe_Ausgabe!$B$13=1,Berechnung!D227+dt*g,D227+H227*B228)</f>
        <v>-339.9435527945485</v>
      </c>
      <c r="E228">
        <f>0.5*roh_luft*Eingabe_Ausgabe!$B$7*(C228*C228+D228*D228)</f>
        <v>8300114.902690843</v>
      </c>
      <c r="F228">
        <f t="shared" si="30"/>
        <v>-1.4507670537974982</v>
      </c>
      <c r="G228">
        <f>IF(Eingabe_Ausgabe!$B$13=1,0,-COS(F228)*E228/m)</f>
        <v>0</v>
      </c>
      <c r="H228">
        <f>IF(Eingabe_Ausgabe!$B$13=1,g,g-SIN(F228)*E228/m)</f>
        <v>-9.81</v>
      </c>
      <c r="I228" s="4">
        <f t="shared" si="39"/>
        <v>0</v>
      </c>
      <c r="J228" s="4">
        <f t="shared" si="38"/>
        <v>0</v>
      </c>
      <c r="K228">
        <f t="shared" si="31"/>
        <v>0</v>
      </c>
      <c r="L228">
        <f t="shared" si="32"/>
        <v>-83.1228292392255</v>
      </c>
      <c r="M228">
        <f t="shared" si="33"/>
        <v>49384.81819440135</v>
      </c>
      <c r="N228">
        <f t="shared" si="34"/>
        <v>-365030.01584103366</v>
      </c>
      <c r="O228">
        <f t="shared" si="35"/>
        <v>49384.81819440135</v>
      </c>
      <c r="P228">
        <f t="shared" si="36"/>
        <v>-321802.618716034</v>
      </c>
    </row>
    <row r="229" spans="2:16" ht="15">
      <c r="B229">
        <f t="shared" si="37"/>
        <v>11.000000000000021</v>
      </c>
      <c r="C229">
        <f>IF(Eingabe_Ausgabe!$B$13=1,Berechnung!C228,C228+G228*B229)</f>
        <v>41.00026417135857</v>
      </c>
      <c r="D229">
        <f>IF(Eingabe_Ausgabe!$B$13=1,Berechnung!D228+dt*g,D228+H228*B229)</f>
        <v>-340.4340527945485</v>
      </c>
      <c r="E229">
        <f>0.5*roh_luft*Eingabe_Ausgabe!$B$7*(C229*C229+D229*D229)</f>
        <v>8323740.757731556</v>
      </c>
      <c r="F229">
        <f t="shared" si="30"/>
        <v>-1.4509383401875209</v>
      </c>
      <c r="G229">
        <f>IF(Eingabe_Ausgabe!$B$13=1,0,-COS(F229)*E229/m)</f>
        <v>0</v>
      </c>
      <c r="H229">
        <f>IF(Eingabe_Ausgabe!$B$13=1,g,g-SIN(F229)*E229/m)</f>
        <v>-9.81</v>
      </c>
      <c r="I229" s="4">
        <f t="shared" si="39"/>
        <v>0</v>
      </c>
      <c r="J229" s="4">
        <f t="shared" si="38"/>
        <v>0</v>
      </c>
      <c r="K229">
        <f t="shared" si="31"/>
        <v>0</v>
      </c>
      <c r="L229">
        <f t="shared" si="32"/>
        <v>-83.13264322646182</v>
      </c>
      <c r="M229">
        <f t="shared" si="33"/>
        <v>49835.821100286295</v>
      </c>
      <c r="N229">
        <f t="shared" si="34"/>
        <v>-368774.7904217737</v>
      </c>
      <c r="O229">
        <f t="shared" si="35"/>
        <v>49835.821100286295</v>
      </c>
      <c r="P229">
        <f t="shared" si="36"/>
        <v>-324953.88829677406</v>
      </c>
    </row>
    <row r="230" spans="2:16" ht="15">
      <c r="B230">
        <f t="shared" si="37"/>
        <v>11.050000000000022</v>
      </c>
      <c r="C230">
        <f>IF(Eingabe_Ausgabe!$B$13=1,Berechnung!C229,C229+G229*B230)</f>
        <v>41.00026417135857</v>
      </c>
      <c r="D230">
        <f>IF(Eingabe_Ausgabe!$B$13=1,Berechnung!D229+dt*g,D229+H229*B230)</f>
        <v>-340.9245527945485</v>
      </c>
      <c r="E230">
        <f>0.5*roh_luft*Eingabe_Ausgabe!$B$7*(C230*C230+D230*D230)</f>
        <v>8347400.677626264</v>
      </c>
      <c r="F230">
        <f t="shared" si="30"/>
        <v>-1.451109140742915</v>
      </c>
      <c r="G230">
        <f>IF(Eingabe_Ausgabe!$B$13=1,0,-COS(F230)*E230/m)</f>
        <v>0</v>
      </c>
      <c r="H230">
        <f>IF(Eingabe_Ausgabe!$B$13=1,g,g-SIN(F230)*E230/m)</f>
        <v>-9.81</v>
      </c>
      <c r="I230" s="4">
        <f t="shared" si="39"/>
        <v>0</v>
      </c>
      <c r="J230" s="4">
        <f t="shared" si="38"/>
        <v>0</v>
      </c>
      <c r="K230">
        <f t="shared" si="31"/>
        <v>0</v>
      </c>
      <c r="L230">
        <f t="shared" si="32"/>
        <v>-83.1424293774244</v>
      </c>
      <c r="M230">
        <f t="shared" si="33"/>
        <v>50288.87401937981</v>
      </c>
      <c r="N230">
        <f t="shared" si="34"/>
        <v>-372542.00673015346</v>
      </c>
      <c r="O230">
        <f t="shared" si="35"/>
        <v>50288.87401937981</v>
      </c>
      <c r="P230">
        <f t="shared" si="36"/>
        <v>-328122.19184265385</v>
      </c>
    </row>
    <row r="231" spans="2:16" ht="15">
      <c r="B231">
        <f t="shared" si="37"/>
        <v>11.100000000000023</v>
      </c>
      <c r="C231">
        <f>IF(Eingabe_Ausgabe!$B$13=1,Berechnung!C230,C230+G230*B231)</f>
        <v>41.00026417135857</v>
      </c>
      <c r="D231">
        <f>IF(Eingabe_Ausgabe!$B$13=1,Berechnung!D230+dt*g,D230+H230*B231)</f>
        <v>-341.4150527945485</v>
      </c>
      <c r="E231">
        <f>0.5*roh_luft*Eingabe_Ausgabe!$B$7*(C231*C231+D231*D231)</f>
        <v>8371094.662374966</v>
      </c>
      <c r="F231">
        <f t="shared" si="30"/>
        <v>-1.4512794575178536</v>
      </c>
      <c r="G231">
        <f>IF(Eingabe_Ausgabe!$B$13=1,0,-COS(F231)*E231/m)</f>
        <v>0</v>
      </c>
      <c r="H231">
        <f>IF(Eingabe_Ausgabe!$B$13=1,g,g-SIN(F231)*E231/m)</f>
        <v>-9.81</v>
      </c>
      <c r="I231" s="4">
        <f t="shared" si="39"/>
        <v>0</v>
      </c>
      <c r="J231" s="4">
        <f t="shared" si="38"/>
        <v>0</v>
      </c>
      <c r="K231">
        <f t="shared" si="31"/>
        <v>0</v>
      </c>
      <c r="L231">
        <f t="shared" si="32"/>
        <v>-83.15218780980867</v>
      </c>
      <c r="M231">
        <f t="shared" si="33"/>
        <v>50743.976951681885</v>
      </c>
      <c r="N231">
        <f t="shared" si="34"/>
        <v>-376331.71381617297</v>
      </c>
      <c r="O231">
        <f t="shared" si="35"/>
        <v>50743.976951681885</v>
      </c>
      <c r="P231">
        <f t="shared" si="36"/>
        <v>-331307.55387867335</v>
      </c>
    </row>
    <row r="232" spans="2:16" ht="15">
      <c r="B232">
        <f t="shared" si="37"/>
        <v>11.150000000000023</v>
      </c>
      <c r="C232">
        <f>IF(Eingabe_Ausgabe!$B$13=1,Berechnung!C231,C231+G231*B232)</f>
        <v>41.00026417135857</v>
      </c>
      <c r="D232">
        <f>IF(Eingabe_Ausgabe!$B$13=1,Berechnung!D231+dt*g,D231+H231*B232)</f>
        <v>-341.9055527945485</v>
      </c>
      <c r="E232">
        <f>0.5*roh_luft*Eingabe_Ausgabe!$B$7*(C232*C232+D232*D232)</f>
        <v>8394822.71197766</v>
      </c>
      <c r="F232">
        <f t="shared" si="30"/>
        <v>-1.4514492925550009</v>
      </c>
      <c r="G232">
        <f>IF(Eingabe_Ausgabe!$B$13=1,0,-COS(F232)*E232/m)</f>
        <v>0</v>
      </c>
      <c r="H232">
        <f>IF(Eingabe_Ausgabe!$B$13=1,g,g-SIN(F232)*E232/m)</f>
        <v>-9.81</v>
      </c>
      <c r="I232" s="4">
        <f t="shared" si="39"/>
        <v>0</v>
      </c>
      <c r="J232" s="4">
        <f t="shared" si="38"/>
        <v>0</v>
      </c>
      <c r="K232">
        <f t="shared" si="31"/>
        <v>0</v>
      </c>
      <c r="L232">
        <f t="shared" si="32"/>
        <v>-83.16191864065065</v>
      </c>
      <c r="M232">
        <f t="shared" si="33"/>
        <v>51201.129897192535</v>
      </c>
      <c r="N232">
        <f t="shared" si="34"/>
        <v>-380143.9607298322</v>
      </c>
      <c r="O232">
        <f t="shared" si="35"/>
        <v>51201.129897192535</v>
      </c>
      <c r="P232">
        <f t="shared" si="36"/>
        <v>-334509.9989298326</v>
      </c>
    </row>
    <row r="233" spans="2:16" ht="15">
      <c r="B233">
        <f t="shared" si="37"/>
        <v>11.200000000000024</v>
      </c>
      <c r="C233">
        <f>IF(Eingabe_Ausgabe!$B$13=1,Berechnung!C232,C232+G232*B233)</f>
        <v>41.00026417135857</v>
      </c>
      <c r="D233">
        <f>IF(Eingabe_Ausgabe!$B$13=1,Berechnung!D232+dt*g,D232+H232*B233)</f>
        <v>-342.3960527945485</v>
      </c>
      <c r="E233">
        <f>0.5*roh_luft*Eingabe_Ausgabe!$B$7*(C233*C233+D233*D233)</f>
        <v>8418584.826434348</v>
      </c>
      <c r="F233">
        <f t="shared" si="30"/>
        <v>-1.4516186478855941</v>
      </c>
      <c r="G233">
        <f>IF(Eingabe_Ausgabe!$B$13=1,0,-COS(F233)*E233/m)</f>
        <v>0</v>
      </c>
      <c r="H233">
        <f>IF(Eingabe_Ausgabe!$B$13=1,g,g-SIN(F233)*E233/m)</f>
        <v>-9.81</v>
      </c>
      <c r="I233" s="4">
        <f t="shared" si="39"/>
        <v>0</v>
      </c>
      <c r="J233" s="4">
        <f t="shared" si="38"/>
        <v>0</v>
      </c>
      <c r="K233">
        <f t="shared" si="31"/>
        <v>0</v>
      </c>
      <c r="L233">
        <f t="shared" si="32"/>
        <v>-83.17162198633169</v>
      </c>
      <c r="M233">
        <f t="shared" si="33"/>
        <v>51660.33285591175</v>
      </c>
      <c r="N233">
        <f t="shared" si="34"/>
        <v>-383978.7965211311</v>
      </c>
      <c r="O233">
        <f t="shared" si="35"/>
        <v>51660.33285591175</v>
      </c>
      <c r="P233">
        <f t="shared" si="36"/>
        <v>-337729.55152113154</v>
      </c>
    </row>
    <row r="234" spans="2:16" ht="15">
      <c r="B234">
        <f t="shared" si="37"/>
        <v>11.250000000000025</v>
      </c>
      <c r="C234">
        <f>IF(Eingabe_Ausgabe!$B$13=1,Berechnung!C233,C233+G233*B234)</f>
        <v>41.00026417135857</v>
      </c>
      <c r="D234">
        <f>IF(Eingabe_Ausgabe!$B$13=1,Berechnung!D233+dt*g,D233+H233*B234)</f>
        <v>-342.8865527945485</v>
      </c>
      <c r="E234">
        <f>0.5*roh_luft*Eingabe_Ausgabe!$B$7*(C234*C234+D234*D234)</f>
        <v>8442381.005745031</v>
      </c>
      <c r="F234">
        <f t="shared" si="30"/>
        <v>-1.4517875255295218</v>
      </c>
      <c r="G234">
        <f>IF(Eingabe_Ausgabe!$B$13=1,0,-COS(F234)*E234/m)</f>
        <v>0</v>
      </c>
      <c r="H234">
        <f>IF(Eingabe_Ausgabe!$B$13=1,g,g-SIN(F234)*E234/m)</f>
        <v>-9.81</v>
      </c>
      <c r="I234" s="4">
        <f t="shared" si="39"/>
        <v>0</v>
      </c>
      <c r="J234" s="4">
        <f t="shared" si="38"/>
        <v>0</v>
      </c>
      <c r="K234">
        <f t="shared" si="31"/>
        <v>0</v>
      </c>
      <c r="L234">
        <f t="shared" si="32"/>
        <v>-83.18129796258286</v>
      </c>
      <c r="M234">
        <f t="shared" si="33"/>
        <v>52121.58582783954</v>
      </c>
      <c r="N234">
        <f t="shared" si="34"/>
        <v>-387836.2702400698</v>
      </c>
      <c r="O234">
        <f t="shared" si="35"/>
        <v>52121.58582783954</v>
      </c>
      <c r="P234">
        <f t="shared" si="36"/>
        <v>-340966.23617757024</v>
      </c>
    </row>
    <row r="235" spans="2:16" ht="15">
      <c r="B235">
        <f t="shared" si="37"/>
        <v>11.300000000000026</v>
      </c>
      <c r="C235">
        <f>IF(Eingabe_Ausgabe!$B$13=1,Berechnung!C234,C234+G234*B235)</f>
        <v>41.00026417135857</v>
      </c>
      <c r="D235">
        <f>IF(Eingabe_Ausgabe!$B$13=1,Berechnung!D234+dt*g,D234+H234*B235)</f>
        <v>-343.3770527945485</v>
      </c>
      <c r="E235">
        <f>0.5*roh_luft*Eingabe_Ausgabe!$B$7*(C235*C235+D235*D235)</f>
        <v>8466211.249909706</v>
      </c>
      <c r="F235">
        <f t="shared" si="30"/>
        <v>-1.451955927495403</v>
      </c>
      <c r="G235">
        <f>IF(Eingabe_Ausgabe!$B$13=1,0,-COS(F235)*E235/m)</f>
        <v>0</v>
      </c>
      <c r="H235">
        <f>IF(Eingabe_Ausgabe!$B$13=1,g,g-SIN(F235)*E235/m)</f>
        <v>-9.81</v>
      </c>
      <c r="I235" s="4">
        <f t="shared" si="39"/>
        <v>0</v>
      </c>
      <c r="J235" s="4">
        <f t="shared" si="38"/>
        <v>0</v>
      </c>
      <c r="K235">
        <f t="shared" si="31"/>
        <v>0</v>
      </c>
      <c r="L235">
        <f t="shared" si="32"/>
        <v>-83.19094668448956</v>
      </c>
      <c r="M235">
        <f t="shared" si="33"/>
        <v>52584.88881297589</v>
      </c>
      <c r="N235">
        <f t="shared" si="34"/>
        <v>-391716.43093664816</v>
      </c>
      <c r="O235">
        <f t="shared" si="35"/>
        <v>52584.88881297589</v>
      </c>
      <c r="P235">
        <f t="shared" si="36"/>
        <v>-344220.0774241487</v>
      </c>
    </row>
    <row r="236" spans="2:16" ht="15">
      <c r="B236">
        <f t="shared" si="37"/>
        <v>11.350000000000026</v>
      </c>
      <c r="C236">
        <f>IF(Eingabe_Ausgabe!$B$13=1,Berechnung!C235,C235+G235*B236)</f>
        <v>41.00026417135857</v>
      </c>
      <c r="D236">
        <f>IF(Eingabe_Ausgabe!$B$13=1,Berechnung!D235+dt*g,D235+H235*B236)</f>
        <v>-343.8675527945485</v>
      </c>
      <c r="E236">
        <f>0.5*roh_luft*Eingabe_Ausgabe!$B$7*(C236*C236+D236*D236)</f>
        <v>8490075.558928376</v>
      </c>
      <c r="F236">
        <f t="shared" si="30"/>
        <v>-1.4521238557806648</v>
      </c>
      <c r="G236">
        <f>IF(Eingabe_Ausgabe!$B$13=1,0,-COS(F236)*E236/m)</f>
        <v>0</v>
      </c>
      <c r="H236">
        <f>IF(Eingabe_Ausgabe!$B$13=1,g,g-SIN(F236)*E236/m)</f>
        <v>-9.81</v>
      </c>
      <c r="I236" s="4">
        <f t="shared" si="39"/>
        <v>0</v>
      </c>
      <c r="J236" s="4">
        <f t="shared" si="38"/>
        <v>0</v>
      </c>
      <c r="K236">
        <f t="shared" si="31"/>
        <v>0</v>
      </c>
      <c r="L236">
        <f t="shared" si="32"/>
        <v>-83.20056826649592</v>
      </c>
      <c r="M236">
        <f t="shared" si="33"/>
        <v>53050.24181132081</v>
      </c>
      <c r="N236">
        <f t="shared" si="34"/>
        <v>-395619.3276608663</v>
      </c>
      <c r="O236">
        <f t="shared" si="35"/>
        <v>53050.24181132081</v>
      </c>
      <c r="P236">
        <f t="shared" si="36"/>
        <v>-347491.0997858668</v>
      </c>
    </row>
    <row r="237" spans="2:16" ht="15">
      <c r="B237">
        <f t="shared" si="37"/>
        <v>11.400000000000027</v>
      </c>
      <c r="C237">
        <f>IF(Eingabe_Ausgabe!$B$13=1,Berechnung!C236,C236+G236*B237)</f>
        <v>41.00026417135857</v>
      </c>
      <c r="D237">
        <f>IF(Eingabe_Ausgabe!$B$13=1,Berechnung!D236+dt*g,D236+H236*B237)</f>
        <v>-344.3580527945485</v>
      </c>
      <c r="E237">
        <f>0.5*roh_luft*Eingabe_Ausgabe!$B$7*(C237*C237+D237*D237)</f>
        <v>8513973.932801038</v>
      </c>
      <c r="F237">
        <f t="shared" si="30"/>
        <v>-1.452291312371621</v>
      </c>
      <c r="G237">
        <f>IF(Eingabe_Ausgabe!$B$13=1,0,-COS(F237)*E237/m)</f>
        <v>0</v>
      </c>
      <c r="H237">
        <f>IF(Eingabe_Ausgabe!$B$13=1,g,g-SIN(F237)*E237/m)</f>
        <v>-9.81</v>
      </c>
      <c r="I237" s="4">
        <f t="shared" si="39"/>
        <v>0</v>
      </c>
      <c r="J237" s="4">
        <f t="shared" si="38"/>
        <v>0</v>
      </c>
      <c r="K237">
        <f t="shared" si="31"/>
        <v>0</v>
      </c>
      <c r="L237">
        <f t="shared" si="32"/>
        <v>-83.21016282240936</v>
      </c>
      <c r="M237">
        <f t="shared" si="33"/>
        <v>53517.6448228743</v>
      </c>
      <c r="N237">
        <f t="shared" si="34"/>
        <v>-399545.00946272415</v>
      </c>
      <c r="O237">
        <f t="shared" si="35"/>
        <v>53517.6448228743</v>
      </c>
      <c r="P237">
        <f t="shared" si="36"/>
        <v>-350779.3277877247</v>
      </c>
    </row>
    <row r="238" spans="2:16" ht="15">
      <c r="B238">
        <f t="shared" si="37"/>
        <v>11.450000000000028</v>
      </c>
      <c r="C238">
        <f>IF(Eingabe_Ausgabe!$B$13=1,Berechnung!C237,C237+G237*B238)</f>
        <v>41.00026417135857</v>
      </c>
      <c r="D238">
        <f>IF(Eingabe_Ausgabe!$B$13=1,Berechnung!D237+dt*g,D237+H237*B238)</f>
        <v>-344.8485527945485</v>
      </c>
      <c r="E238">
        <f>0.5*roh_luft*Eingabe_Ausgabe!$B$7*(C238*C238+D238*D238)</f>
        <v>8537906.371527694</v>
      </c>
      <c r="F238">
        <f t="shared" si="30"/>
        <v>-1.4524582992435473</v>
      </c>
      <c r="G238">
        <f>IF(Eingabe_Ausgabe!$B$13=1,0,-COS(F238)*E238/m)</f>
        <v>0</v>
      </c>
      <c r="H238">
        <f>IF(Eingabe_Ausgabe!$B$13=1,g,g-SIN(F238)*E238/m)</f>
        <v>-9.81</v>
      </c>
      <c r="I238" s="4">
        <f t="shared" si="39"/>
        <v>0</v>
      </c>
      <c r="J238" s="4">
        <f t="shared" si="38"/>
        <v>0</v>
      </c>
      <c r="K238">
        <f t="shared" si="31"/>
        <v>0</v>
      </c>
      <c r="L238">
        <f t="shared" si="32"/>
        <v>-83.21973046540484</v>
      </c>
      <c r="M238">
        <f t="shared" si="33"/>
        <v>53987.09784763636</v>
      </c>
      <c r="N238">
        <f t="shared" si="34"/>
        <v>-403493.52539222175</v>
      </c>
      <c r="O238">
        <f t="shared" si="35"/>
        <v>53987.09784763636</v>
      </c>
      <c r="P238">
        <f t="shared" si="36"/>
        <v>-354084.78595472226</v>
      </c>
    </row>
    <row r="239" spans="2:16" ht="15">
      <c r="B239">
        <f t="shared" si="37"/>
        <v>11.500000000000028</v>
      </c>
      <c r="C239">
        <f>IF(Eingabe_Ausgabe!$B$13=1,Berechnung!C238,C238+G238*B239)</f>
        <v>41.00026417135857</v>
      </c>
      <c r="D239">
        <f>IF(Eingabe_Ausgabe!$B$13=1,Berechnung!D238+dt*g,D238+H238*B239)</f>
        <v>-345.3390527945485</v>
      </c>
      <c r="E239">
        <f>0.5*roh_luft*Eingabe_Ausgabe!$B$7*(C239*C239+D239*D239)</f>
        <v>8561872.875108346</v>
      </c>
      <c r="F239">
        <f t="shared" si="30"/>
        <v>-1.4526248183607589</v>
      </c>
      <c r="G239">
        <f>IF(Eingabe_Ausgabe!$B$13=1,0,-COS(F239)*E239/m)</f>
        <v>0</v>
      </c>
      <c r="H239">
        <f>IF(Eingabe_Ausgabe!$B$13=1,g,g-SIN(F239)*E239/m)</f>
        <v>-9.81</v>
      </c>
      <c r="I239" s="4">
        <f t="shared" si="39"/>
        <v>0</v>
      </c>
      <c r="J239" s="4">
        <f t="shared" si="38"/>
        <v>0</v>
      </c>
      <c r="K239">
        <f t="shared" si="31"/>
        <v>0</v>
      </c>
      <c r="L239">
        <f t="shared" si="32"/>
        <v>-83.2292713080293</v>
      </c>
      <c r="M239">
        <f t="shared" si="33"/>
        <v>54458.60088560698</v>
      </c>
      <c r="N239">
        <f t="shared" si="34"/>
        <v>-407464.9244993591</v>
      </c>
      <c r="O239">
        <f t="shared" si="35"/>
        <v>54458.60088560698</v>
      </c>
      <c r="P239">
        <f t="shared" si="36"/>
        <v>-357407.49881185964</v>
      </c>
    </row>
    <row r="240" spans="2:16" ht="15">
      <c r="B240">
        <f t="shared" si="37"/>
        <v>11.55000000000003</v>
      </c>
      <c r="C240">
        <f>IF(Eingabe_Ausgabe!$B$13=1,Berechnung!C239,C239+G239*B240)</f>
        <v>41.00026417135857</v>
      </c>
      <c r="D240">
        <f>IF(Eingabe_Ausgabe!$B$13=1,Berechnung!D239+dt*g,D239+H239*B240)</f>
        <v>-345.8295527945485</v>
      </c>
      <c r="E240">
        <f>0.5*roh_luft*Eingabe_Ausgabe!$B$7*(C240*C240+D240*D240)</f>
        <v>8585873.44354299</v>
      </c>
      <c r="F240">
        <f t="shared" si="30"/>
        <v>-1.4527908716766853</v>
      </c>
      <c r="G240">
        <f>IF(Eingabe_Ausgabe!$B$13=1,0,-COS(F240)*E240/m)</f>
        <v>0</v>
      </c>
      <c r="H240">
        <f>IF(Eingabe_Ausgabe!$B$13=1,g,g-SIN(F240)*E240/m)</f>
        <v>-9.81</v>
      </c>
      <c r="I240" s="4">
        <f t="shared" si="39"/>
        <v>0</v>
      </c>
      <c r="J240" s="4">
        <f t="shared" si="38"/>
        <v>0</v>
      </c>
      <c r="K240">
        <f t="shared" si="31"/>
        <v>0</v>
      </c>
      <c r="L240">
        <f t="shared" si="32"/>
        <v>-83.23878546220604</v>
      </c>
      <c r="M240">
        <f t="shared" si="33"/>
        <v>54932.15393678618</v>
      </c>
      <c r="N240">
        <f t="shared" si="34"/>
        <v>-411459.25583413616</v>
      </c>
      <c r="O240">
        <f t="shared" si="35"/>
        <v>54932.15393678618</v>
      </c>
      <c r="P240">
        <f t="shared" si="36"/>
        <v>-360747.4908841367</v>
      </c>
    </row>
    <row r="241" spans="2:16" ht="15">
      <c r="B241">
        <f t="shared" si="37"/>
        <v>11.60000000000003</v>
      </c>
      <c r="C241">
        <f>IF(Eingabe_Ausgabe!$B$13=1,Berechnung!C240,C240+G240*B241)</f>
        <v>41.00026417135857</v>
      </c>
      <c r="D241">
        <f>IF(Eingabe_Ausgabe!$B$13=1,Berechnung!D240+dt*g,D240+H240*B241)</f>
        <v>-346.3200527945485</v>
      </c>
      <c r="E241">
        <f>0.5*roh_luft*Eingabe_Ausgabe!$B$7*(C241*C241+D241*D241)</f>
        <v>8609908.076831628</v>
      </c>
      <c r="F241">
        <f t="shared" si="30"/>
        <v>-1.4529564611339454</v>
      </c>
      <c r="G241">
        <f>IF(Eingabe_Ausgabe!$B$13=1,0,-COS(F241)*E241/m)</f>
        <v>0</v>
      </c>
      <c r="H241">
        <f>IF(Eingabe_Ausgabe!$B$13=1,g,g-SIN(F241)*E241/m)</f>
        <v>-9.81</v>
      </c>
      <c r="I241" s="4">
        <f t="shared" si="39"/>
        <v>0</v>
      </c>
      <c r="J241" s="4">
        <f t="shared" si="38"/>
        <v>0</v>
      </c>
      <c r="K241">
        <f t="shared" si="31"/>
        <v>0</v>
      </c>
      <c r="L241">
        <f t="shared" si="32"/>
        <v>-83.2482730392389</v>
      </c>
      <c r="M241">
        <f t="shared" si="33"/>
        <v>55407.75700117394</v>
      </c>
      <c r="N241">
        <f t="shared" si="34"/>
        <v>-415476.5684465529</v>
      </c>
      <c r="O241">
        <f t="shared" si="35"/>
        <v>55407.75700117394</v>
      </c>
      <c r="P241">
        <f t="shared" si="36"/>
        <v>-364104.78669655346</v>
      </c>
    </row>
    <row r="242" spans="2:16" ht="15">
      <c r="B242">
        <f t="shared" si="37"/>
        <v>11.65000000000003</v>
      </c>
      <c r="C242">
        <f>IF(Eingabe_Ausgabe!$B$13=1,Berechnung!C241,C241+G241*B242)</f>
        <v>41.00026417135857</v>
      </c>
      <c r="D242">
        <f>IF(Eingabe_Ausgabe!$B$13=1,Berechnung!D241+dt*g,D241+H241*B242)</f>
        <v>-346.81055279454847</v>
      </c>
      <c r="E242">
        <f>0.5*roh_luft*Eingabe_Ausgabe!$B$7*(C242*C242+D242*D242)</f>
        <v>8633976.774974259</v>
      </c>
      <c r="F242">
        <f t="shared" si="30"/>
        <v>-1.4531215886644218</v>
      </c>
      <c r="G242">
        <f>IF(Eingabe_Ausgabe!$B$13=1,0,-COS(F242)*E242/m)</f>
        <v>0</v>
      </c>
      <c r="H242">
        <f>IF(Eingabe_Ausgabe!$B$13=1,g,g-SIN(F242)*E242/m)</f>
        <v>-9.81</v>
      </c>
      <c r="I242" s="4">
        <f t="shared" si="39"/>
        <v>0</v>
      </c>
      <c r="J242" s="4">
        <f t="shared" si="38"/>
        <v>0</v>
      </c>
      <c r="K242">
        <f t="shared" si="31"/>
        <v>0</v>
      </c>
      <c r="L242">
        <f t="shared" si="32"/>
        <v>-83.25773414981661</v>
      </c>
      <c r="M242">
        <f t="shared" si="33"/>
        <v>55885.41007877026</v>
      </c>
      <c r="N242">
        <f t="shared" si="34"/>
        <v>-419516.9113866094</v>
      </c>
      <c r="O242">
        <f t="shared" si="35"/>
        <v>55885.41007877026</v>
      </c>
      <c r="P242">
        <f t="shared" si="36"/>
        <v>-367479.41077410994</v>
      </c>
    </row>
    <row r="243" spans="2:16" ht="15">
      <c r="B243">
        <f t="shared" si="37"/>
        <v>11.700000000000031</v>
      </c>
      <c r="C243">
        <f>IF(Eingabe_Ausgabe!$B$13=1,Berechnung!C242,C242+G242*B243)</f>
        <v>41.00026417135857</v>
      </c>
      <c r="D243">
        <f>IF(Eingabe_Ausgabe!$B$13=1,Berechnung!D242+dt*g,D242+H242*B243)</f>
        <v>-347.30105279454847</v>
      </c>
      <c r="E243">
        <f>0.5*roh_luft*Eingabe_Ausgabe!$B$7*(C243*C243+D243*D243)</f>
        <v>8658079.537970884</v>
      </c>
      <c r="F243">
        <f t="shared" si="30"/>
        <v>-1.4532862561893347</v>
      </c>
      <c r="G243">
        <f>IF(Eingabe_Ausgabe!$B$13=1,0,-COS(F243)*E243/m)</f>
        <v>0</v>
      </c>
      <c r="H243">
        <f>IF(Eingabe_Ausgabe!$B$13=1,g,g-SIN(F243)*E243/m)</f>
        <v>-9.81</v>
      </c>
      <c r="I243" s="4">
        <f t="shared" si="39"/>
        <v>0</v>
      </c>
      <c r="J243" s="4">
        <f t="shared" si="38"/>
        <v>0</v>
      </c>
      <c r="K243">
        <f t="shared" si="31"/>
        <v>0</v>
      </c>
      <c r="L243">
        <f t="shared" si="32"/>
        <v>-83.267168904017</v>
      </c>
      <c r="M243">
        <f t="shared" si="33"/>
        <v>56365.11316957516</v>
      </c>
      <c r="N243">
        <f t="shared" si="34"/>
        <v>-423580.33370430564</v>
      </c>
      <c r="O243">
        <f t="shared" si="35"/>
        <v>56365.11316957516</v>
      </c>
      <c r="P243">
        <f t="shared" si="36"/>
        <v>-370871.38764180616</v>
      </c>
    </row>
    <row r="244" spans="2:16" ht="15">
      <c r="B244">
        <f t="shared" si="37"/>
        <v>11.750000000000032</v>
      </c>
      <c r="C244">
        <f>IF(Eingabe_Ausgabe!$B$13=1,Berechnung!C243,C243+G243*B244)</f>
        <v>41.00026417135857</v>
      </c>
      <c r="D244">
        <f>IF(Eingabe_Ausgabe!$B$13=1,Berechnung!D243+dt*g,D243+H243*B244)</f>
        <v>-347.79155279454847</v>
      </c>
      <c r="E244">
        <f>0.5*roh_luft*Eingabe_Ausgabe!$B$7*(C244*C244+D244*D244)</f>
        <v>8682216.365821503</v>
      </c>
      <c r="F244">
        <f t="shared" si="30"/>
        <v>-1.453450465619315</v>
      </c>
      <c r="G244">
        <f>IF(Eingabe_Ausgabe!$B$13=1,0,-COS(F244)*E244/m)</f>
        <v>0</v>
      </c>
      <c r="H244">
        <f>IF(Eingabe_Ausgabe!$B$13=1,g,g-SIN(F244)*E244/m)</f>
        <v>-9.81</v>
      </c>
      <c r="I244" s="4">
        <f t="shared" si="39"/>
        <v>0</v>
      </c>
      <c r="J244" s="4">
        <f t="shared" si="38"/>
        <v>0</v>
      </c>
      <c r="K244">
        <f t="shared" si="31"/>
        <v>0</v>
      </c>
      <c r="L244">
        <f t="shared" si="32"/>
        <v>-83.27657741131111</v>
      </c>
      <c r="M244">
        <f t="shared" si="33"/>
        <v>56846.866273588625</v>
      </c>
      <c r="N244">
        <f t="shared" si="34"/>
        <v>-427666.88444964157</v>
      </c>
      <c r="O244">
        <f t="shared" si="35"/>
        <v>56846.866273588625</v>
      </c>
      <c r="P244">
        <f t="shared" si="36"/>
        <v>-374280.7418246422</v>
      </c>
    </row>
    <row r="245" spans="2:16" ht="15">
      <c r="B245">
        <f t="shared" si="37"/>
        <v>11.800000000000033</v>
      </c>
      <c r="C245">
        <f>IF(Eingabe_Ausgabe!$B$13=1,Berechnung!C244,C244+G244*B245)</f>
        <v>41.00026417135857</v>
      </c>
      <c r="D245">
        <f>IF(Eingabe_Ausgabe!$B$13=1,Berechnung!D244+dt*g,D244+H244*B245)</f>
        <v>-348.28205279454846</v>
      </c>
      <c r="E245">
        <f>0.5*roh_luft*Eingabe_Ausgabe!$B$7*(C245*C245+D245*D245)</f>
        <v>8706387.258526115</v>
      </c>
      <c r="F245">
        <f t="shared" si="30"/>
        <v>-1.453614218854476</v>
      </c>
      <c r="G245">
        <f>IF(Eingabe_Ausgabe!$B$13=1,0,-COS(F245)*E245/m)</f>
        <v>0</v>
      </c>
      <c r="H245">
        <f>IF(Eingabe_Ausgabe!$B$13=1,g,g-SIN(F245)*E245/m)</f>
        <v>-9.81</v>
      </c>
      <c r="I245" s="4">
        <f t="shared" si="39"/>
        <v>0</v>
      </c>
      <c r="J245" s="4">
        <f t="shared" si="38"/>
        <v>0</v>
      </c>
      <c r="K245">
        <f t="shared" si="31"/>
        <v>0</v>
      </c>
      <c r="L245">
        <f t="shared" si="32"/>
        <v>-83.28595978056745</v>
      </c>
      <c r="M245">
        <f t="shared" si="33"/>
        <v>57330.66939081065</v>
      </c>
      <c r="N245">
        <f t="shared" si="34"/>
        <v>-431776.61267261725</v>
      </c>
      <c r="O245">
        <f t="shared" si="35"/>
        <v>57330.66939081065</v>
      </c>
      <c r="P245">
        <f t="shared" si="36"/>
        <v>-377707.4978476179</v>
      </c>
    </row>
    <row r="246" spans="2:16" ht="15">
      <c r="B246">
        <f t="shared" si="37"/>
        <v>11.850000000000033</v>
      </c>
      <c r="C246">
        <f>IF(Eingabe_Ausgabe!$B$13=1,Berechnung!C245,C245+G245*B246)</f>
        <v>41.00026417135857</v>
      </c>
      <c r="D246">
        <f>IF(Eingabe_Ausgabe!$B$13=1,Berechnung!D245+dt*g,D245+H245*B246)</f>
        <v>-348.77255279454846</v>
      </c>
      <c r="E246">
        <f>0.5*roh_luft*Eingabe_Ausgabe!$B$7*(C246*C246+D246*D246)</f>
        <v>8730592.21608472</v>
      </c>
      <c r="F246">
        <f t="shared" si="30"/>
        <v>-1.4537775177844867</v>
      </c>
      <c r="G246">
        <f>IF(Eingabe_Ausgabe!$B$13=1,0,-COS(F246)*E246/m)</f>
        <v>0</v>
      </c>
      <c r="H246">
        <f>IF(Eingabe_Ausgabe!$B$13=1,g,g-SIN(F246)*E246/m)</f>
        <v>-9.81</v>
      </c>
      <c r="I246" s="4">
        <f t="shared" si="39"/>
        <v>0</v>
      </c>
      <c r="J246" s="4">
        <f t="shared" si="38"/>
        <v>0</v>
      </c>
      <c r="K246">
        <f t="shared" si="31"/>
        <v>0</v>
      </c>
      <c r="L246">
        <f t="shared" si="32"/>
        <v>-83.29531612005607</v>
      </c>
      <c r="M246">
        <f t="shared" si="33"/>
        <v>57816.522521241255</v>
      </c>
      <c r="N246">
        <f t="shared" si="34"/>
        <v>-435909.56742323266</v>
      </c>
      <c r="O246">
        <f t="shared" si="35"/>
        <v>57816.522521241255</v>
      </c>
      <c r="P246">
        <f t="shared" si="36"/>
        <v>-381151.68023573334</v>
      </c>
    </row>
    <row r="247" spans="2:16" ht="15">
      <c r="B247">
        <f t="shared" si="37"/>
        <v>11.900000000000034</v>
      </c>
      <c r="C247">
        <f>IF(Eingabe_Ausgabe!$B$13=1,Berechnung!C246,C246+G246*B247)</f>
        <v>41.00026417135857</v>
      </c>
      <c r="D247">
        <f>IF(Eingabe_Ausgabe!$B$13=1,Berechnung!D246+dt*g,D246+H246*B247)</f>
        <v>-349.26305279454846</v>
      </c>
      <c r="E247">
        <f>0.5*roh_luft*Eingabe_Ausgabe!$B$7*(C247*C247+D247*D247)</f>
        <v>8754831.238497319</v>
      </c>
      <c r="F247">
        <f t="shared" si="30"/>
        <v>-1.4539403642886424</v>
      </c>
      <c r="G247">
        <f>IF(Eingabe_Ausgabe!$B$13=1,0,-COS(F247)*E247/m)</f>
        <v>0</v>
      </c>
      <c r="H247">
        <f>IF(Eingabe_Ausgabe!$B$13=1,g,g-SIN(F247)*E247/m)</f>
        <v>-9.81</v>
      </c>
      <c r="I247" s="4">
        <f t="shared" si="39"/>
        <v>0</v>
      </c>
      <c r="J247" s="4">
        <f t="shared" si="38"/>
        <v>0</v>
      </c>
      <c r="K247">
        <f t="shared" si="31"/>
        <v>0</v>
      </c>
      <c r="L247">
        <f t="shared" si="32"/>
        <v>-83.30464653745264</v>
      </c>
      <c r="M247">
        <f t="shared" si="33"/>
        <v>58304.42566488042</v>
      </c>
      <c r="N247">
        <f t="shared" si="34"/>
        <v>-440065.7977514878</v>
      </c>
      <c r="O247">
        <f t="shared" si="35"/>
        <v>58304.42566488042</v>
      </c>
      <c r="P247">
        <f t="shared" si="36"/>
        <v>-384613.31351398845</v>
      </c>
    </row>
    <row r="248" spans="2:16" ht="15">
      <c r="B248">
        <f t="shared" si="37"/>
        <v>11.950000000000035</v>
      </c>
      <c r="C248">
        <f>IF(Eingabe_Ausgabe!$B$13=1,Berechnung!C247,C247+G247*B248)</f>
        <v>41.00026417135857</v>
      </c>
      <c r="D248">
        <f>IF(Eingabe_Ausgabe!$B$13=1,Berechnung!D247+dt*g,D247+H247*B248)</f>
        <v>-349.75355279454845</v>
      </c>
      <c r="E248">
        <f>0.5*roh_luft*Eingabe_Ausgabe!$B$7*(C248*C248+D248*D248)</f>
        <v>8779104.325763913</v>
      </c>
      <c r="F248">
        <f t="shared" si="30"/>
        <v>-1.4541027602359347</v>
      </c>
      <c r="G248">
        <f>IF(Eingabe_Ausgabe!$B$13=1,0,-COS(F248)*E248/m)</f>
        <v>0</v>
      </c>
      <c r="H248">
        <f>IF(Eingabe_Ausgabe!$B$13=1,g,g-SIN(F248)*E248/m)</f>
        <v>-9.81</v>
      </c>
      <c r="I248" s="4">
        <f t="shared" si="39"/>
        <v>0</v>
      </c>
      <c r="J248" s="4">
        <f t="shared" si="38"/>
        <v>0</v>
      </c>
      <c r="K248">
        <f t="shared" si="31"/>
        <v>0</v>
      </c>
      <c r="L248">
        <f t="shared" si="32"/>
        <v>-83.31395113984252</v>
      </c>
      <c r="M248">
        <f t="shared" si="33"/>
        <v>58794.37882172816</v>
      </c>
      <c r="N248">
        <f t="shared" si="34"/>
        <v>-444245.3527073827</v>
      </c>
      <c r="O248">
        <f t="shared" si="35"/>
        <v>58794.37882172816</v>
      </c>
      <c r="P248">
        <f t="shared" si="36"/>
        <v>-388092.4222073833</v>
      </c>
    </row>
    <row r="249" spans="2:16" ht="15">
      <c r="B249">
        <f t="shared" si="37"/>
        <v>12.000000000000036</v>
      </c>
      <c r="C249">
        <f>IF(Eingabe_Ausgabe!$B$13=1,Berechnung!C248,C248+G248*B249)</f>
        <v>41.00026417135857</v>
      </c>
      <c r="D249">
        <f>IF(Eingabe_Ausgabe!$B$13=1,Berechnung!D248+dt*g,D248+H248*B249)</f>
        <v>-350.24405279454845</v>
      </c>
      <c r="E249">
        <f>0.5*roh_luft*Eingabe_Ausgabe!$B$7*(C249*C249+D249*D249)</f>
        <v>8803411.4778845</v>
      </c>
      <c r="F249">
        <f t="shared" si="30"/>
        <v>-1.4542647074851236</v>
      </c>
      <c r="G249">
        <f>IF(Eingabe_Ausgabe!$B$13=1,0,-COS(F249)*E249/m)</f>
        <v>0</v>
      </c>
      <c r="H249">
        <f>IF(Eingabe_Ausgabe!$B$13=1,g,g-SIN(F249)*E249/m)</f>
        <v>-9.81</v>
      </c>
      <c r="I249" s="4">
        <f t="shared" si="39"/>
        <v>0</v>
      </c>
      <c r="J249" s="4">
        <f t="shared" si="38"/>
        <v>0</v>
      </c>
      <c r="K249">
        <f t="shared" si="31"/>
        <v>0</v>
      </c>
      <c r="L249">
        <f t="shared" si="32"/>
        <v>-83.3232300337248</v>
      </c>
      <c r="M249">
        <f t="shared" si="33"/>
        <v>59286.38199178447</v>
      </c>
      <c r="N249">
        <f t="shared" si="34"/>
        <v>-448448.2813409173</v>
      </c>
      <c r="O249">
        <f t="shared" si="35"/>
        <v>59286.38199178447</v>
      </c>
      <c r="P249">
        <f t="shared" si="36"/>
        <v>-391589.0308409179</v>
      </c>
    </row>
    <row r="250" spans="2:16" ht="15">
      <c r="B250">
        <f t="shared" si="37"/>
        <v>12.050000000000036</v>
      </c>
      <c r="C250">
        <f>IF(Eingabe_Ausgabe!$B$13=1,Berechnung!C249,C249+G249*B250)</f>
        <v>41.00026417135857</v>
      </c>
      <c r="D250">
        <f>IF(Eingabe_Ausgabe!$B$13=1,Berechnung!D249+dt*g,D249+H249*B250)</f>
        <v>-350.73455279454845</v>
      </c>
      <c r="E250">
        <f>0.5*roh_luft*Eingabe_Ausgabe!$B$7*(C250*C250+D250*D250)</f>
        <v>8827752.69485908</v>
      </c>
      <c r="F250">
        <f t="shared" si="30"/>
        <v>-1.454426207884805</v>
      </c>
      <c r="G250">
        <f>IF(Eingabe_Ausgabe!$B$13=1,0,-COS(F250)*E250/m)</f>
        <v>0</v>
      </c>
      <c r="H250">
        <f>IF(Eingabe_Ausgabe!$B$13=1,g,g-SIN(F250)*E250/m)</f>
        <v>-9.81</v>
      </c>
      <c r="I250" s="4">
        <f t="shared" si="39"/>
        <v>0</v>
      </c>
      <c r="J250" s="4">
        <f t="shared" si="38"/>
        <v>0</v>
      </c>
      <c r="K250">
        <f t="shared" si="31"/>
        <v>0</v>
      </c>
      <c r="L250">
        <f t="shared" si="32"/>
        <v>-83.33248332501621</v>
      </c>
      <c r="M250">
        <f t="shared" si="33"/>
        <v>59780.43517504934</v>
      </c>
      <c r="N250">
        <f t="shared" si="34"/>
        <v>-452674.6327020916</v>
      </c>
      <c r="O250">
        <f t="shared" si="35"/>
        <v>59780.43517504934</v>
      </c>
      <c r="P250">
        <f t="shared" si="36"/>
        <v>-395103.16393959225</v>
      </c>
    </row>
    <row r="251" spans="2:16" ht="15">
      <c r="B251">
        <f t="shared" si="37"/>
        <v>12.100000000000037</v>
      </c>
      <c r="C251">
        <f>IF(Eingabe_Ausgabe!$B$13=1,Berechnung!C250,C250+G250*B251)</f>
        <v>41.00026417135857</v>
      </c>
      <c r="D251">
        <f>IF(Eingabe_Ausgabe!$B$13=1,Berechnung!D250+dt*g,D250+H250*B251)</f>
        <v>-351.22505279454845</v>
      </c>
      <c r="E251">
        <f>0.5*roh_luft*Eingabe_Ausgabe!$B$7*(C251*C251+D251*D251)</f>
        <v>8852127.976687655</v>
      </c>
      <c r="F251">
        <f t="shared" si="30"/>
        <v>-1.4545872632734809</v>
      </c>
      <c r="G251">
        <f>IF(Eingabe_Ausgabe!$B$13=1,0,-COS(F251)*E251/m)</f>
        <v>0</v>
      </c>
      <c r="H251">
        <f>IF(Eingabe_Ausgabe!$B$13=1,g,g-SIN(F251)*E251/m)</f>
        <v>-9.81</v>
      </c>
      <c r="I251" s="4">
        <f t="shared" si="39"/>
        <v>0</v>
      </c>
      <c r="J251" s="4">
        <f t="shared" si="38"/>
        <v>0</v>
      </c>
      <c r="K251">
        <f t="shared" si="31"/>
        <v>0</v>
      </c>
      <c r="L251">
        <f t="shared" si="32"/>
        <v>-83.34171111905519</v>
      </c>
      <c r="M251">
        <f t="shared" si="33"/>
        <v>60276.53837152278</v>
      </c>
      <c r="N251">
        <f t="shared" si="34"/>
        <v>-456924.45584090566</v>
      </c>
      <c r="O251">
        <f t="shared" si="35"/>
        <v>60276.53837152278</v>
      </c>
      <c r="P251">
        <f t="shared" si="36"/>
        <v>-398634.8460284063</v>
      </c>
    </row>
    <row r="252" spans="2:16" ht="15">
      <c r="B252">
        <f t="shared" si="37"/>
        <v>12.150000000000038</v>
      </c>
      <c r="C252">
        <f>IF(Eingabe_Ausgabe!$B$13=1,Berechnung!C251,C251+G251*B252)</f>
        <v>41.00026417135857</v>
      </c>
      <c r="D252">
        <f>IF(Eingabe_Ausgabe!$B$13=1,Berechnung!D251+dt*g,D251+H251*B252)</f>
        <v>-351.71555279454844</v>
      </c>
      <c r="E252">
        <f>0.5*roh_luft*Eingabe_Ausgabe!$B$7*(C252*C252+D252*D252)</f>
        <v>8876537.323370222</v>
      </c>
      <c r="F252">
        <f t="shared" si="30"/>
        <v>-1.4547478754796281</v>
      </c>
      <c r="G252">
        <f>IF(Eingabe_Ausgabe!$B$13=1,0,-COS(F252)*E252/m)</f>
        <v>0</v>
      </c>
      <c r="H252">
        <f>IF(Eingabe_Ausgabe!$B$13=1,g,g-SIN(F252)*E252/m)</f>
        <v>-9.81</v>
      </c>
      <c r="I252" s="4">
        <f t="shared" si="39"/>
        <v>0</v>
      </c>
      <c r="J252" s="4">
        <f t="shared" si="38"/>
        <v>0</v>
      </c>
      <c r="K252">
        <f t="shared" si="31"/>
        <v>0</v>
      </c>
      <c r="L252">
        <f t="shared" si="32"/>
        <v>-83.35091352060572</v>
      </c>
      <c r="M252">
        <f t="shared" si="33"/>
        <v>60774.69158120479</v>
      </c>
      <c r="N252">
        <f t="shared" si="34"/>
        <v>-461197.79980735946</v>
      </c>
      <c r="O252">
        <f t="shared" si="35"/>
        <v>60774.69158120479</v>
      </c>
      <c r="P252">
        <f t="shared" si="36"/>
        <v>-402184.1016323601</v>
      </c>
    </row>
    <row r="253" spans="2:16" ht="15">
      <c r="B253">
        <f t="shared" si="37"/>
        <v>12.200000000000038</v>
      </c>
      <c r="C253">
        <f>IF(Eingabe_Ausgabe!$B$13=1,Berechnung!C252,C252+G252*B253)</f>
        <v>41.00026417135857</v>
      </c>
      <c r="D253">
        <f>IF(Eingabe_Ausgabe!$B$13=1,Berechnung!D252+dt*g,D252+H252*B253)</f>
        <v>-352.20605279454844</v>
      </c>
      <c r="E253">
        <f>0.5*roh_luft*Eingabe_Ausgabe!$B$7*(C253*C253+D253*D253)</f>
        <v>8900980.734906783</v>
      </c>
      <c r="F253">
        <f t="shared" si="30"/>
        <v>-1.4549080463217654</v>
      </c>
      <c r="G253">
        <f>IF(Eingabe_Ausgabe!$B$13=1,0,-COS(F253)*E253/m)</f>
        <v>0</v>
      </c>
      <c r="H253">
        <f>IF(Eingabe_Ausgabe!$B$13=1,g,g-SIN(F253)*E253/m)</f>
        <v>-9.81</v>
      </c>
      <c r="I253" s="4">
        <f t="shared" si="39"/>
        <v>0</v>
      </c>
      <c r="J253" s="4">
        <f t="shared" si="38"/>
        <v>0</v>
      </c>
      <c r="K253">
        <f t="shared" si="31"/>
        <v>0</v>
      </c>
      <c r="L253">
        <f t="shared" si="32"/>
        <v>-83.36009063386123</v>
      </c>
      <c r="M253">
        <f t="shared" si="33"/>
        <v>61274.89480409536</v>
      </c>
      <c r="N253">
        <f t="shared" si="34"/>
        <v>-465494.71365145297</v>
      </c>
      <c r="O253">
        <f t="shared" si="35"/>
        <v>61274.89480409536</v>
      </c>
      <c r="P253">
        <f t="shared" si="36"/>
        <v>-405750.9552764536</v>
      </c>
    </row>
    <row r="254" spans="2:16" ht="15">
      <c r="B254">
        <f t="shared" si="37"/>
        <v>12.250000000000039</v>
      </c>
      <c r="C254">
        <f>IF(Eingabe_Ausgabe!$B$13=1,Berechnung!C253,C253+G253*B254)</f>
        <v>41.00026417135857</v>
      </c>
      <c r="D254">
        <f>IF(Eingabe_Ausgabe!$B$13=1,Berechnung!D253+dt*g,D253+H253*B254)</f>
        <v>-352.69655279454844</v>
      </c>
      <c r="E254">
        <f>0.5*roh_luft*Eingabe_Ausgabe!$B$7*(C254*C254+D254*D254)</f>
        <v>8925458.211297339</v>
      </c>
      <c r="F254">
        <f t="shared" si="30"/>
        <v>-1.4550677776085212</v>
      </c>
      <c r="G254">
        <f>IF(Eingabe_Ausgabe!$B$13=1,0,-COS(F254)*E254/m)</f>
        <v>0</v>
      </c>
      <c r="H254">
        <f>IF(Eingabe_Ausgabe!$B$13=1,g,g-SIN(F254)*E254/m)</f>
        <v>-9.81</v>
      </c>
      <c r="I254" s="4">
        <f t="shared" si="39"/>
        <v>0</v>
      </c>
      <c r="J254" s="4">
        <f t="shared" si="38"/>
        <v>0</v>
      </c>
      <c r="K254">
        <f t="shared" si="31"/>
        <v>0</v>
      </c>
      <c r="L254">
        <f t="shared" si="32"/>
        <v>-83.36924256244853</v>
      </c>
      <c r="M254">
        <f t="shared" si="33"/>
        <v>61777.14804019451</v>
      </c>
      <c r="N254">
        <f t="shared" si="34"/>
        <v>-469815.2464231862</v>
      </c>
      <c r="O254">
        <f t="shared" si="35"/>
        <v>61777.14804019451</v>
      </c>
      <c r="P254">
        <f t="shared" si="36"/>
        <v>-409335.4314856868</v>
      </c>
    </row>
    <row r="255" spans="2:16" ht="15">
      <c r="B255">
        <f t="shared" si="37"/>
        <v>12.30000000000004</v>
      </c>
      <c r="C255">
        <f>IF(Eingabe_Ausgabe!$B$13=1,Berechnung!C254,C254+G254*B255)</f>
        <v>41.00026417135857</v>
      </c>
      <c r="D255">
        <f>IF(Eingabe_Ausgabe!$B$13=1,Berechnung!D254+dt*g,D254+H254*B255)</f>
        <v>-353.18705279454844</v>
      </c>
      <c r="E255">
        <f>0.5*roh_luft*Eingabe_Ausgabe!$B$7*(C255*C255+D255*D255)</f>
        <v>8949969.752541887</v>
      </c>
      <c r="F255">
        <f t="shared" si="30"/>
        <v>-1.4552270711387008</v>
      </c>
      <c r="G255">
        <f>IF(Eingabe_Ausgabe!$B$13=1,0,-COS(F255)*E255/m)</f>
        <v>0</v>
      </c>
      <c r="H255">
        <f>IF(Eingabe_Ausgabe!$B$13=1,g,g-SIN(F255)*E255/m)</f>
        <v>-9.81</v>
      </c>
      <c r="I255" s="4">
        <f t="shared" si="39"/>
        <v>0</v>
      </c>
      <c r="J255" s="4">
        <f t="shared" si="38"/>
        <v>0</v>
      </c>
      <c r="K255">
        <f t="shared" si="31"/>
        <v>0</v>
      </c>
      <c r="L255">
        <f t="shared" si="32"/>
        <v>-83.37836940943156</v>
      </c>
      <c r="M255">
        <f t="shared" si="33"/>
        <v>62281.45128950222</v>
      </c>
      <c r="N255">
        <f t="shared" si="34"/>
        <v>-474159.44717255916</v>
      </c>
      <c r="O255">
        <f t="shared" si="35"/>
        <v>62281.45128950222</v>
      </c>
      <c r="P255">
        <f t="shared" si="36"/>
        <v>-412937.55478505976</v>
      </c>
    </row>
    <row r="256" spans="2:16" ht="15">
      <c r="B256">
        <f t="shared" si="37"/>
        <v>12.35000000000004</v>
      </c>
      <c r="C256">
        <f>IF(Eingabe_Ausgabe!$B$13=1,Berechnung!C255,C255+G255*B256)</f>
        <v>41.00026417135857</v>
      </c>
      <c r="D256">
        <f>IF(Eingabe_Ausgabe!$B$13=1,Berechnung!D255+dt*g,D255+H255*B256)</f>
        <v>-353.67755279454843</v>
      </c>
      <c r="E256">
        <f>0.5*roh_luft*Eingabe_Ausgabe!$B$7*(C256*C256+D256*D256)</f>
        <v>8974515.358640429</v>
      </c>
      <c r="F256">
        <f t="shared" si="30"/>
        <v>-1.4553859287013515</v>
      </c>
      <c r="G256">
        <f>IF(Eingabe_Ausgabe!$B$13=1,0,-COS(F256)*E256/m)</f>
        <v>0</v>
      </c>
      <c r="H256">
        <f>IF(Eingabe_Ausgabe!$B$13=1,g,g-SIN(F256)*E256/m)</f>
        <v>-9.81</v>
      </c>
      <c r="I256" s="4">
        <f t="shared" si="39"/>
        <v>0</v>
      </c>
      <c r="J256" s="4">
        <f t="shared" si="38"/>
        <v>0</v>
      </c>
      <c r="K256">
        <f t="shared" si="31"/>
        <v>0</v>
      </c>
      <c r="L256">
        <f t="shared" si="32"/>
        <v>-83.38747127731519</v>
      </c>
      <c r="M256">
        <f t="shared" si="33"/>
        <v>62787.8045520185</v>
      </c>
      <c r="N256">
        <f t="shared" si="34"/>
        <v>-478527.36494957184</v>
      </c>
      <c r="O256">
        <f t="shared" si="35"/>
        <v>62787.8045520185</v>
      </c>
      <c r="P256">
        <f t="shared" si="36"/>
        <v>-416557.3496995725</v>
      </c>
    </row>
    <row r="257" spans="2:16" ht="15">
      <c r="B257">
        <f t="shared" si="37"/>
        <v>12.400000000000041</v>
      </c>
      <c r="C257">
        <f>IF(Eingabe_Ausgabe!$B$13=1,Berechnung!C256,C256+G256*B257)</f>
        <v>41.00026417135857</v>
      </c>
      <c r="D257">
        <f>IF(Eingabe_Ausgabe!$B$13=1,Berechnung!D256+dt*g,D256+H256*B257)</f>
        <v>-354.16805279454843</v>
      </c>
      <c r="E257">
        <f>0.5*roh_luft*Eingabe_Ausgabe!$B$7*(C257*C257+D257*D257)</f>
        <v>8999095.029592965</v>
      </c>
      <c r="F257">
        <f t="shared" si="30"/>
        <v>-1.4555443520758302</v>
      </c>
      <c r="G257">
        <f>IF(Eingabe_Ausgabe!$B$13=1,0,-COS(F257)*E257/m)</f>
        <v>0</v>
      </c>
      <c r="H257">
        <f>IF(Eingabe_Ausgabe!$B$13=1,g,g-SIN(F257)*E257/m)</f>
        <v>-9.81</v>
      </c>
      <c r="I257" s="4">
        <f t="shared" si="39"/>
        <v>0</v>
      </c>
      <c r="J257" s="4">
        <f t="shared" si="38"/>
        <v>0</v>
      </c>
      <c r="K257">
        <f t="shared" si="31"/>
        <v>0</v>
      </c>
      <c r="L257">
        <f t="shared" si="32"/>
        <v>-83.39654826804903</v>
      </c>
      <c r="M257">
        <f t="shared" si="33"/>
        <v>63296.20782774335</v>
      </c>
      <c r="N257">
        <f t="shared" si="34"/>
        <v>-482919.04880422424</v>
      </c>
      <c r="O257">
        <f t="shared" si="35"/>
        <v>63296.20782774335</v>
      </c>
      <c r="P257">
        <f t="shared" si="36"/>
        <v>-420194.8407542249</v>
      </c>
    </row>
    <row r="258" spans="2:16" ht="15">
      <c r="B258">
        <f t="shared" si="37"/>
        <v>12.450000000000042</v>
      </c>
      <c r="C258">
        <f>IF(Eingabe_Ausgabe!$B$13=1,Berechnung!C257,C257+G257*B258)</f>
        <v>41.00026417135857</v>
      </c>
      <c r="D258">
        <f>IF(Eingabe_Ausgabe!$B$13=1,Berechnung!D257+dt*g,D257+H257*B258)</f>
        <v>-354.6585527945484</v>
      </c>
      <c r="E258">
        <f>0.5*roh_luft*Eingabe_Ausgabe!$B$7*(C258*C258+D258*D258)</f>
        <v>9023708.765399495</v>
      </c>
      <c r="F258">
        <f t="shared" si="30"/>
        <v>-1.4557023430318672</v>
      </c>
      <c r="G258">
        <f>IF(Eingabe_Ausgabe!$B$13=1,0,-COS(F258)*E258/m)</f>
        <v>0</v>
      </c>
      <c r="H258">
        <f>IF(Eingabe_Ausgabe!$B$13=1,g,g-SIN(F258)*E258/m)</f>
        <v>-9.81</v>
      </c>
      <c r="I258" s="4">
        <f t="shared" si="39"/>
        <v>0</v>
      </c>
      <c r="J258" s="4">
        <f t="shared" si="38"/>
        <v>0</v>
      </c>
      <c r="K258">
        <f t="shared" si="31"/>
        <v>0</v>
      </c>
      <c r="L258">
        <f t="shared" si="32"/>
        <v>-83.4056004830312</v>
      </c>
      <c r="M258">
        <f t="shared" si="33"/>
        <v>63806.66111667676</v>
      </c>
      <c r="N258">
        <f t="shared" si="34"/>
        <v>-487334.54778651637</v>
      </c>
      <c r="O258">
        <f t="shared" si="35"/>
        <v>63806.66111667676</v>
      </c>
      <c r="P258">
        <f t="shared" si="36"/>
        <v>-423850.0524740171</v>
      </c>
    </row>
    <row r="259" spans="2:16" ht="15">
      <c r="B259">
        <f t="shared" si="37"/>
        <v>12.500000000000043</v>
      </c>
      <c r="C259">
        <f>IF(Eingabe_Ausgabe!$B$13=1,Berechnung!C258,C258+G258*B259)</f>
        <v>41.00026417135857</v>
      </c>
      <c r="D259">
        <f>IF(Eingabe_Ausgabe!$B$13=1,Berechnung!D258+dt*g,D258+H258*B259)</f>
        <v>-355.1490527945484</v>
      </c>
      <c r="E259">
        <f>0.5*roh_luft*Eingabe_Ausgabe!$B$7*(C259*C259+D259*D259)</f>
        <v>9048356.566060018</v>
      </c>
      <c r="F259">
        <f t="shared" si="30"/>
        <v>-1.4558599033296307</v>
      </c>
      <c r="G259">
        <f>IF(Eingabe_Ausgabe!$B$13=1,0,-COS(F259)*E259/m)</f>
        <v>0</v>
      </c>
      <c r="H259">
        <f>IF(Eingabe_Ausgabe!$B$13=1,g,g-SIN(F259)*E259/m)</f>
        <v>-9.81</v>
      </c>
      <c r="I259" s="4">
        <f t="shared" si="39"/>
        <v>0</v>
      </c>
      <c r="J259" s="4">
        <f t="shared" si="38"/>
        <v>0</v>
      </c>
      <c r="K259">
        <f t="shared" si="31"/>
        <v>0</v>
      </c>
      <c r="L259">
        <f t="shared" si="32"/>
        <v>-83.41462802311186</v>
      </c>
      <c r="M259">
        <f t="shared" si="33"/>
        <v>64319.16441881874</v>
      </c>
      <c r="N259">
        <f t="shared" si="34"/>
        <v>-491773.9109464482</v>
      </c>
      <c r="O259">
        <f t="shared" si="35"/>
        <v>64319.16441881874</v>
      </c>
      <c r="P259">
        <f t="shared" si="36"/>
        <v>-427523.0093839489</v>
      </c>
    </row>
    <row r="260" spans="2:16" ht="15">
      <c r="B260">
        <f t="shared" si="37"/>
        <v>12.550000000000043</v>
      </c>
      <c r="C260">
        <f>IF(Eingabe_Ausgabe!$B$13=1,Berechnung!C259,C259+G259*B260)</f>
        <v>41.00026417135857</v>
      </c>
      <c r="D260">
        <f>IF(Eingabe_Ausgabe!$B$13=1,Berechnung!D259+dt*g,D259+H259*B260)</f>
        <v>-355.6395527945484</v>
      </c>
      <c r="E260">
        <f>0.5*roh_luft*Eingabe_Ausgabe!$B$7*(C260*C260+D260*D260)</f>
        <v>9073038.431574535</v>
      </c>
      <c r="F260">
        <f t="shared" si="30"/>
        <v>-1.4560170347197927</v>
      </c>
      <c r="G260">
        <f>IF(Eingabe_Ausgabe!$B$13=1,0,-COS(F260)*E260/m)</f>
        <v>0</v>
      </c>
      <c r="H260">
        <f>IF(Eingabe_Ausgabe!$B$13=1,g,g-SIN(F260)*E260/m)</f>
        <v>-9.81</v>
      </c>
      <c r="I260" s="4">
        <f t="shared" si="39"/>
        <v>0</v>
      </c>
      <c r="J260" s="4">
        <f t="shared" si="38"/>
        <v>0</v>
      </c>
      <c r="K260">
        <f t="shared" si="31"/>
        <v>0</v>
      </c>
      <c r="L260">
        <f t="shared" si="32"/>
        <v>-83.42363098859717</v>
      </c>
      <c r="M260">
        <f t="shared" si="33"/>
        <v>64833.717734169295</v>
      </c>
      <c r="N260">
        <f t="shared" si="34"/>
        <v>-496237.1873340198</v>
      </c>
      <c r="O260">
        <f t="shared" si="35"/>
        <v>64833.717734169295</v>
      </c>
      <c r="P260">
        <f t="shared" si="36"/>
        <v>-431213.73600902053</v>
      </c>
    </row>
    <row r="261" spans="2:16" ht="15">
      <c r="B261">
        <f t="shared" si="37"/>
        <v>12.600000000000044</v>
      </c>
      <c r="C261">
        <f>IF(Eingabe_Ausgabe!$B$13=1,Berechnung!C260,C260+G260*B261)</f>
        <v>41.00026417135857</v>
      </c>
      <c r="D261">
        <f>IF(Eingabe_Ausgabe!$B$13=1,Berechnung!D260+dt*g,D260+H260*B261)</f>
        <v>-356.1300527945484</v>
      </c>
      <c r="E261">
        <f>0.5*roh_luft*Eingabe_Ausgabe!$B$7*(C261*C261+D261*D261)</f>
        <v>9097754.361943046</v>
      </c>
      <c r="F261">
        <f t="shared" si="30"/>
        <v>-1.4561737389435907</v>
      </c>
      <c r="G261">
        <f>IF(Eingabe_Ausgabe!$B$13=1,0,-COS(F261)*E261/m)</f>
        <v>0</v>
      </c>
      <c r="H261">
        <f>IF(Eingabe_Ausgabe!$B$13=1,g,g-SIN(F261)*E261/m)</f>
        <v>-9.81</v>
      </c>
      <c r="I261" s="4">
        <f t="shared" si="39"/>
        <v>0</v>
      </c>
      <c r="J261" s="4">
        <f t="shared" si="38"/>
        <v>0</v>
      </c>
      <c r="K261">
        <f t="shared" si="31"/>
        <v>0</v>
      </c>
      <c r="L261">
        <f t="shared" si="32"/>
        <v>-83.43260947925268</v>
      </c>
      <c r="M261">
        <f t="shared" si="33"/>
        <v>65350.32106272841</v>
      </c>
      <c r="N261">
        <f t="shared" si="34"/>
        <v>-500724.4259992311</v>
      </c>
      <c r="O261">
        <f t="shared" si="35"/>
        <v>65350.32106272841</v>
      </c>
      <c r="P261">
        <f t="shared" si="36"/>
        <v>-434922.25687423185</v>
      </c>
    </row>
    <row r="262" spans="2:16" ht="15">
      <c r="B262">
        <f t="shared" si="37"/>
        <v>12.650000000000045</v>
      </c>
      <c r="C262">
        <f>IF(Eingabe_Ausgabe!$B$13=1,Berechnung!C261,C261+G261*B262)</f>
        <v>41.00026417135857</v>
      </c>
      <c r="D262">
        <f>IF(Eingabe_Ausgabe!$B$13=1,Berechnung!D261+dt*g,D261+H261*B262)</f>
        <v>-356.6205527945484</v>
      </c>
      <c r="E262">
        <f>0.5*roh_luft*Eingabe_Ausgabe!$B$7*(C262*C262+D262*D262)</f>
        <v>9122504.357165549</v>
      </c>
      <c r="F262">
        <f t="shared" si="30"/>
        <v>-1.4563300177328922</v>
      </c>
      <c r="G262">
        <f>IF(Eingabe_Ausgabe!$B$13=1,0,-COS(F262)*E262/m)</f>
        <v>0</v>
      </c>
      <c r="H262">
        <f>IF(Eingabe_Ausgabe!$B$13=1,g,g-SIN(F262)*E262/m)</f>
        <v>-9.81</v>
      </c>
      <c r="I262" s="4">
        <f t="shared" si="39"/>
        <v>0</v>
      </c>
      <c r="J262" s="4">
        <f t="shared" si="38"/>
        <v>0</v>
      </c>
      <c r="K262">
        <f t="shared" si="31"/>
        <v>0</v>
      </c>
      <c r="L262">
        <f t="shared" si="32"/>
        <v>-83.44156359430706</v>
      </c>
      <c r="M262">
        <f t="shared" si="33"/>
        <v>65868.9744044961</v>
      </c>
      <c r="N262">
        <f t="shared" si="34"/>
        <v>-505235.67599208216</v>
      </c>
      <c r="O262">
        <f t="shared" si="35"/>
        <v>65868.9744044961</v>
      </c>
      <c r="P262">
        <f t="shared" si="36"/>
        <v>-438648.5965045829</v>
      </c>
    </row>
    <row r="263" spans="2:16" ht="15">
      <c r="B263">
        <f t="shared" si="37"/>
        <v>12.700000000000045</v>
      </c>
      <c r="C263">
        <f>IF(Eingabe_Ausgabe!$B$13=1,Berechnung!C262,C262+G262*B263)</f>
        <v>41.00026417135857</v>
      </c>
      <c r="D263">
        <f>IF(Eingabe_Ausgabe!$B$13=1,Berechnung!D262+dt*g,D262+H262*B263)</f>
        <v>-357.1110527945484</v>
      </c>
      <c r="E263">
        <f>0.5*roh_luft*Eingabe_Ausgabe!$B$7*(C263*C263+D263*D263)</f>
        <v>9147288.417242048</v>
      </c>
      <c r="F263">
        <f t="shared" si="30"/>
        <v>-1.4564858728102568</v>
      </c>
      <c r="G263">
        <f>IF(Eingabe_Ausgabe!$B$13=1,0,-COS(F263)*E263/m)</f>
        <v>0</v>
      </c>
      <c r="H263">
        <f>IF(Eingabe_Ausgabe!$B$13=1,g,g-SIN(F263)*E263/m)</f>
        <v>-9.81</v>
      </c>
      <c r="I263" s="4">
        <f t="shared" si="39"/>
        <v>0</v>
      </c>
      <c r="J263" s="4">
        <f t="shared" si="38"/>
        <v>0</v>
      </c>
      <c r="K263">
        <f t="shared" si="31"/>
        <v>0</v>
      </c>
      <c r="L263">
        <f t="shared" si="32"/>
        <v>-83.45049343245573</v>
      </c>
      <c r="M263">
        <f t="shared" si="33"/>
        <v>66389.67775947235</v>
      </c>
      <c r="N263">
        <f t="shared" si="34"/>
        <v>-509770.98636257293</v>
      </c>
      <c r="O263">
        <f t="shared" si="35"/>
        <v>66389.67775947235</v>
      </c>
      <c r="P263">
        <f t="shared" si="36"/>
        <v>-442392.7794250737</v>
      </c>
    </row>
    <row r="264" spans="2:16" ht="15">
      <c r="B264">
        <f t="shared" si="37"/>
        <v>12.750000000000046</v>
      </c>
      <c r="C264">
        <f>IF(Eingabe_Ausgabe!$B$13=1,Berechnung!C263,C263+G263*B264)</f>
        <v>41.00026417135857</v>
      </c>
      <c r="D264">
        <f>IF(Eingabe_Ausgabe!$B$13=1,Berechnung!D263+dt*g,D263+H263*B264)</f>
        <v>-357.6015527945484</v>
      </c>
      <c r="E264">
        <f>0.5*roh_luft*Eingabe_Ausgabe!$B$7*(C264*C264+D264*D264)</f>
        <v>9172106.54217254</v>
      </c>
      <c r="F264">
        <f t="shared" si="30"/>
        <v>-1.4566413058889986</v>
      </c>
      <c r="G264">
        <f>IF(Eingabe_Ausgabe!$B$13=1,0,-COS(F264)*E264/m)</f>
        <v>0</v>
      </c>
      <c r="H264">
        <f>IF(Eingabe_Ausgabe!$B$13=1,g,g-SIN(F264)*E264/m)</f>
        <v>-9.81</v>
      </c>
      <c r="I264" s="4">
        <f t="shared" si="39"/>
        <v>0</v>
      </c>
      <c r="J264" s="4">
        <f t="shared" si="38"/>
        <v>0</v>
      </c>
      <c r="K264">
        <f t="shared" si="31"/>
        <v>0</v>
      </c>
      <c r="L264">
        <f t="shared" si="32"/>
        <v>-83.45939909186437</v>
      </c>
      <c r="M264">
        <f t="shared" si="33"/>
        <v>66912.43112765718</v>
      </c>
      <c r="N264">
        <f t="shared" si="34"/>
        <v>-514330.40616070345</v>
      </c>
      <c r="O264">
        <f t="shared" si="35"/>
        <v>66912.43112765718</v>
      </c>
      <c r="P264">
        <f t="shared" si="36"/>
        <v>-446154.8301607042</v>
      </c>
    </row>
    <row r="265" spans="2:16" ht="15">
      <c r="B265">
        <f t="shared" si="37"/>
        <v>12.800000000000047</v>
      </c>
      <c r="C265">
        <f>IF(Eingabe_Ausgabe!$B$13=1,Berechnung!C264,C264+G264*B265)</f>
        <v>41.00026417135857</v>
      </c>
      <c r="D265">
        <f>IF(Eingabe_Ausgabe!$B$13=1,Berechnung!D264+dt*g,D264+H264*B265)</f>
        <v>-358.0920527945484</v>
      </c>
      <c r="E265">
        <f>0.5*roh_luft*Eingabe_Ausgabe!$B$7*(C265*C265+D265*D265)</f>
        <v>9196958.731957026</v>
      </c>
      <c r="F265">
        <f aca="true" t="shared" si="40" ref="F265:F328">ATAN(D265/C265)</f>
        <v>-1.4567963186732475</v>
      </c>
      <c r="G265">
        <f>IF(Eingabe_Ausgabe!$B$13=1,0,-COS(F265)*E265/m)</f>
        <v>0</v>
      </c>
      <c r="H265">
        <f>IF(Eingabe_Ausgabe!$B$13=1,g,g-SIN(F265)*E265/m)</f>
        <v>-9.81</v>
      </c>
      <c r="I265" s="4">
        <f t="shared" si="39"/>
        <v>0</v>
      </c>
      <c r="J265" s="4">
        <f t="shared" si="38"/>
        <v>0</v>
      </c>
      <c r="K265">
        <f t="shared" si="31"/>
        <v>0</v>
      </c>
      <c r="L265">
        <f t="shared" si="32"/>
        <v>-83.4682806701724</v>
      </c>
      <c r="M265">
        <f t="shared" si="33"/>
        <v>67437.23450905057</v>
      </c>
      <c r="N265">
        <f t="shared" si="34"/>
        <v>-518913.9844364737</v>
      </c>
      <c r="O265">
        <f t="shared" si="35"/>
        <v>67437.23450905057</v>
      </c>
      <c r="P265">
        <f t="shared" si="36"/>
        <v>-449934.7732364745</v>
      </c>
    </row>
    <row r="266" spans="2:16" ht="15">
      <c r="B266">
        <f t="shared" si="37"/>
        <v>12.850000000000048</v>
      </c>
      <c r="C266">
        <f>IF(Eingabe_Ausgabe!$B$13=1,Berechnung!C265,C265+G265*B266)</f>
        <v>41.00026417135857</v>
      </c>
      <c r="D266">
        <f>IF(Eingabe_Ausgabe!$B$13=1,Berechnung!D265+dt*g,D265+H265*B266)</f>
        <v>-358.5825527945484</v>
      </c>
      <c r="E266">
        <f>0.5*roh_luft*Eingabe_Ausgabe!$B$7*(C266*C266+D266*D266)</f>
        <v>9221844.986595504</v>
      </c>
      <c r="F266">
        <f t="shared" si="40"/>
        <v>-1.4569509128580111</v>
      </c>
      <c r="G266">
        <f>IF(Eingabe_Ausgabe!$B$13=1,0,-COS(F266)*E266/m)</f>
        <v>0</v>
      </c>
      <c r="H266">
        <f>IF(Eingabe_Ausgabe!$B$13=1,g,g-SIN(F266)*E266/m)</f>
        <v>-9.81</v>
      </c>
      <c r="I266" s="4">
        <f t="shared" si="39"/>
        <v>0</v>
      </c>
      <c r="J266" s="4">
        <f t="shared" si="38"/>
        <v>0</v>
      </c>
      <c r="K266">
        <f aca="true" t="shared" si="41" ref="K266:K329">IF(N265&lt;=0,0,SQRT(C266*C266+D266*D266)*3.6)</f>
        <v>0</v>
      </c>
      <c r="L266">
        <f aca="true" t="shared" si="42" ref="L266:L329">DEGREES(F266)</f>
        <v>-83.47713826449663</v>
      </c>
      <c r="M266">
        <f aca="true" t="shared" si="43" ref="M266:M329">M265+C266*B266</f>
        <v>67964.08790365253</v>
      </c>
      <c r="N266">
        <f aca="true" t="shared" si="44" ref="N266:N329">N265+D266*B266</f>
        <v>-523521.7702398837</v>
      </c>
      <c r="O266">
        <f aca="true" t="shared" si="45" ref="O266:O329">O265+$C$9*B266</f>
        <v>67964.08790365253</v>
      </c>
      <c r="P266">
        <f aca="true" t="shared" si="46" ref="P266:P329">P265+v_Anfang*SIN(alpha)*B266+g/2*B266*B266</f>
        <v>-453732.63317738444</v>
      </c>
    </row>
    <row r="267" spans="2:16" ht="15">
      <c r="B267">
        <f aca="true" t="shared" si="47" ref="B267:B330">$B$10+B266</f>
        <v>12.900000000000048</v>
      </c>
      <c r="C267">
        <f>IF(Eingabe_Ausgabe!$B$13=1,Berechnung!C266,C266+G266*B267)</f>
        <v>41.00026417135857</v>
      </c>
      <c r="D267">
        <f>IF(Eingabe_Ausgabe!$B$13=1,Berechnung!D266+dt*g,D266+H266*B267)</f>
        <v>-359.0730527945484</v>
      </c>
      <c r="E267">
        <f>0.5*roh_luft*Eingabe_Ausgabe!$B$7*(C267*C267+D267*D267)</f>
        <v>9246765.306087976</v>
      </c>
      <c r="F267">
        <f t="shared" si="40"/>
        <v>-1.4571050901292342</v>
      </c>
      <c r="G267">
        <f>IF(Eingabe_Ausgabe!$B$13=1,0,-COS(F267)*E267/m)</f>
        <v>0</v>
      </c>
      <c r="H267">
        <f>IF(Eingabe_Ausgabe!$B$13=1,g,g-SIN(F267)*E267/m)</f>
        <v>-9.81</v>
      </c>
      <c r="I267" s="4">
        <f t="shared" si="39"/>
        <v>0</v>
      </c>
      <c r="J267" s="4">
        <f aca="true" t="shared" si="48" ref="J267:J330">IF($B$1*3.6&lt;=K267,1,0)</f>
        <v>0</v>
      </c>
      <c r="K267">
        <f t="shared" si="41"/>
        <v>0</v>
      </c>
      <c r="L267">
        <f t="shared" si="42"/>
        <v>-83.48597197143455</v>
      </c>
      <c r="M267">
        <f t="shared" si="43"/>
        <v>68492.99131146306</v>
      </c>
      <c r="N267">
        <f t="shared" si="44"/>
        <v>-528153.8126209334</v>
      </c>
      <c r="O267">
        <f t="shared" si="45"/>
        <v>68492.99131146306</v>
      </c>
      <c r="P267">
        <f t="shared" si="46"/>
        <v>-457548.43450843415</v>
      </c>
    </row>
    <row r="268" spans="2:16" ht="15">
      <c r="B268">
        <f t="shared" si="47"/>
        <v>12.950000000000049</v>
      </c>
      <c r="C268">
        <f>IF(Eingabe_Ausgabe!$B$13=1,Berechnung!C267,C267+G267*B268)</f>
        <v>41.00026417135857</v>
      </c>
      <c r="D268">
        <f>IF(Eingabe_Ausgabe!$B$13=1,Berechnung!D267+dt*g,D267+H267*B268)</f>
        <v>-359.5635527945484</v>
      </c>
      <c r="E268">
        <f>0.5*roh_luft*Eingabe_Ausgabe!$B$7*(C268*C268+D268*D268)</f>
        <v>9271719.690434443</v>
      </c>
      <c r="F268">
        <f t="shared" si="40"/>
        <v>-1.45725885216386</v>
      </c>
      <c r="G268">
        <f>IF(Eingabe_Ausgabe!$B$13=1,0,-COS(F268)*E268/m)</f>
        <v>0</v>
      </c>
      <c r="H268">
        <f>IF(Eingabe_Ausgabe!$B$13=1,g,g-SIN(F268)*E268/m)</f>
        <v>-9.81</v>
      </c>
      <c r="I268" s="4">
        <f aca="true" t="shared" si="49" ref="I268:I331">IF(AND(N268&lt;=0,I267=0,N267&gt;0),1,0)</f>
        <v>0</v>
      </c>
      <c r="J268" s="4">
        <f t="shared" si="48"/>
        <v>0</v>
      </c>
      <c r="K268">
        <f t="shared" si="41"/>
        <v>0</v>
      </c>
      <c r="L268">
        <f t="shared" si="42"/>
        <v>-83.49478188706796</v>
      </c>
      <c r="M268">
        <f t="shared" si="43"/>
        <v>69023.94473248215</v>
      </c>
      <c r="N268">
        <f t="shared" si="44"/>
        <v>-532810.1606296229</v>
      </c>
      <c r="O268">
        <f t="shared" si="45"/>
        <v>69023.94473248215</v>
      </c>
      <c r="P268">
        <f t="shared" si="46"/>
        <v>-461382.20175462356</v>
      </c>
    </row>
    <row r="269" spans="2:16" ht="15">
      <c r="B269">
        <f t="shared" si="47"/>
        <v>13.00000000000005</v>
      </c>
      <c r="C269">
        <f>IF(Eingabe_Ausgabe!$B$13=1,Berechnung!C268,C268+G268*B269)</f>
        <v>41.00026417135857</v>
      </c>
      <c r="D269">
        <f>IF(Eingabe_Ausgabe!$B$13=1,Berechnung!D268+dt*g,D268+H268*B269)</f>
        <v>-360.0540527945484</v>
      </c>
      <c r="E269">
        <f>0.5*roh_luft*Eingabe_Ausgabe!$B$7*(C269*C269+D269*D269)</f>
        <v>9296708.139634904</v>
      </c>
      <c r="F269">
        <f t="shared" si="40"/>
        <v>-1.4574122006298904</v>
      </c>
      <c r="G269">
        <f>IF(Eingabe_Ausgabe!$B$13=1,0,-COS(F269)*E269/m)</f>
        <v>0</v>
      </c>
      <c r="H269">
        <f>IF(Eingabe_Ausgabe!$B$13=1,g,g-SIN(F269)*E269/m)</f>
        <v>-9.81</v>
      </c>
      <c r="I269" s="4">
        <f t="shared" si="49"/>
        <v>0</v>
      </c>
      <c r="J269" s="4">
        <f t="shared" si="48"/>
        <v>0</v>
      </c>
      <c r="K269">
        <f t="shared" si="41"/>
        <v>0</v>
      </c>
      <c r="L269">
        <f t="shared" si="42"/>
        <v>-83.5035681069663</v>
      </c>
      <c r="M269">
        <f t="shared" si="43"/>
        <v>69556.94816670982</v>
      </c>
      <c r="N269">
        <f t="shared" si="44"/>
        <v>-537490.863315952</v>
      </c>
      <c r="O269">
        <f t="shared" si="45"/>
        <v>69556.94816670982</v>
      </c>
      <c r="P269">
        <f t="shared" si="46"/>
        <v>-465233.9594409527</v>
      </c>
    </row>
    <row r="270" spans="2:16" ht="15">
      <c r="B270">
        <f t="shared" si="47"/>
        <v>13.05000000000005</v>
      </c>
      <c r="C270">
        <f>IF(Eingabe_Ausgabe!$B$13=1,Berechnung!C269,C269+G269*B270)</f>
        <v>41.00026417135857</v>
      </c>
      <c r="D270">
        <f>IF(Eingabe_Ausgabe!$B$13=1,Berechnung!D269+dt*g,D269+H269*B270)</f>
        <v>-360.5445527945484</v>
      </c>
      <c r="E270">
        <f>0.5*roh_luft*Eingabe_Ausgabe!$B$7*(C270*C270+D270*D270)</f>
        <v>9321730.653689355</v>
      </c>
      <c r="F270">
        <f t="shared" si="40"/>
        <v>-1.457565137186443</v>
      </c>
      <c r="G270">
        <f>IF(Eingabe_Ausgabe!$B$13=1,0,-COS(F270)*E270/m)</f>
        <v>0</v>
      </c>
      <c r="H270">
        <f>IF(Eingabe_Ausgabe!$B$13=1,g,g-SIN(F270)*E270/m)</f>
        <v>-9.81</v>
      </c>
      <c r="I270" s="4">
        <f t="shared" si="49"/>
        <v>0</v>
      </c>
      <c r="J270" s="4">
        <f t="shared" si="48"/>
        <v>0</v>
      </c>
      <c r="K270">
        <f t="shared" si="41"/>
        <v>0</v>
      </c>
      <c r="L270">
        <f t="shared" si="42"/>
        <v>-83.51233072619003</v>
      </c>
      <c r="M270">
        <f t="shared" si="43"/>
        <v>70092.00161414605</v>
      </c>
      <c r="N270">
        <f t="shared" si="44"/>
        <v>-542195.9697299208</v>
      </c>
      <c r="O270">
        <f t="shared" si="45"/>
        <v>70092.00161414605</v>
      </c>
      <c r="P270">
        <f t="shared" si="46"/>
        <v>-469103.7320924216</v>
      </c>
    </row>
    <row r="271" spans="2:16" ht="15">
      <c r="B271">
        <f t="shared" si="47"/>
        <v>13.100000000000051</v>
      </c>
      <c r="C271">
        <f>IF(Eingabe_Ausgabe!$B$13=1,Berechnung!C270,C270+G270*B271)</f>
        <v>41.00026417135857</v>
      </c>
      <c r="D271">
        <f>IF(Eingabe_Ausgabe!$B$13=1,Berechnung!D270+dt*g,D270+H270*B271)</f>
        <v>-361.0350527945484</v>
      </c>
      <c r="E271">
        <f>0.5*roh_luft*Eingabe_Ausgabe!$B$7*(C271*C271+D271*D271)</f>
        <v>9346787.232597802</v>
      </c>
      <c r="F271">
        <f t="shared" si="40"/>
        <v>-1.4577176634838125</v>
      </c>
      <c r="G271">
        <f>IF(Eingabe_Ausgabe!$B$13=1,0,-COS(F271)*E271/m)</f>
        <v>0</v>
      </c>
      <c r="H271">
        <f>IF(Eingabe_Ausgabe!$B$13=1,g,g-SIN(F271)*E271/m)</f>
        <v>-9.81</v>
      </c>
      <c r="I271" s="4">
        <f t="shared" si="49"/>
        <v>0</v>
      </c>
      <c r="J271" s="4">
        <f t="shared" si="48"/>
        <v>0</v>
      </c>
      <c r="K271">
        <f t="shared" si="41"/>
        <v>0</v>
      </c>
      <c r="L271">
        <f t="shared" si="42"/>
        <v>-83.52106983929406</v>
      </c>
      <c r="M271">
        <f t="shared" si="43"/>
        <v>70629.10507479084</v>
      </c>
      <c r="N271">
        <f t="shared" si="44"/>
        <v>-546925.5289215294</v>
      </c>
      <c r="O271">
        <f t="shared" si="45"/>
        <v>70629.10507479084</v>
      </c>
      <c r="P271">
        <f t="shared" si="46"/>
        <v>-472991.54423403024</v>
      </c>
    </row>
    <row r="272" spans="2:16" ht="15">
      <c r="B272">
        <f t="shared" si="47"/>
        <v>13.150000000000052</v>
      </c>
      <c r="C272">
        <f>IF(Eingabe_Ausgabe!$B$13=1,Berechnung!C271,C271+G271*B272)</f>
        <v>41.00026417135857</v>
      </c>
      <c r="D272">
        <f>IF(Eingabe_Ausgabe!$B$13=1,Berechnung!D271+dt*g,D271+H271*B272)</f>
        <v>-361.5255527945484</v>
      </c>
      <c r="E272">
        <f>0.5*roh_luft*Eingabe_Ausgabe!$B$7*(C272*C272+D272*D272)</f>
        <v>9371877.876360243</v>
      </c>
      <c r="F272">
        <f t="shared" si="40"/>
        <v>-1.4578697811635268</v>
      </c>
      <c r="G272">
        <f>IF(Eingabe_Ausgabe!$B$13=1,0,-COS(F272)*E272/m)</f>
        <v>0</v>
      </c>
      <c r="H272">
        <f>IF(Eingabe_Ausgabe!$B$13=1,g,g-SIN(F272)*E272/m)</f>
        <v>-9.81</v>
      </c>
      <c r="I272" s="4">
        <f t="shared" si="49"/>
        <v>0</v>
      </c>
      <c r="J272" s="4">
        <f t="shared" si="48"/>
        <v>0</v>
      </c>
      <c r="K272">
        <f t="shared" si="41"/>
        <v>0</v>
      </c>
      <c r="L272">
        <f t="shared" si="42"/>
        <v>-83.529785540331</v>
      </c>
      <c r="M272">
        <f t="shared" si="43"/>
        <v>71168.25854864421</v>
      </c>
      <c r="N272">
        <f t="shared" si="44"/>
        <v>-551679.5899407777</v>
      </c>
      <c r="O272">
        <f t="shared" si="45"/>
        <v>71168.25854864421</v>
      </c>
      <c r="P272">
        <f t="shared" si="46"/>
        <v>-476897.42039077857</v>
      </c>
    </row>
    <row r="273" spans="2:16" ht="15">
      <c r="B273">
        <f t="shared" si="47"/>
        <v>13.200000000000053</v>
      </c>
      <c r="C273">
        <f>IF(Eingabe_Ausgabe!$B$13=1,Berechnung!C272,C272+G272*B273)</f>
        <v>41.00026417135857</v>
      </c>
      <c r="D273">
        <f>IF(Eingabe_Ausgabe!$B$13=1,Berechnung!D272+dt*g,D272+H272*B273)</f>
        <v>-362.0160527945484</v>
      </c>
      <c r="E273">
        <f>0.5*roh_luft*Eingabe_Ausgabe!$B$7*(C273*C273+D273*D273)</f>
        <v>9397002.584976677</v>
      </c>
      <c r="F273">
        <f t="shared" si="40"/>
        <v>-1.4580214918584071</v>
      </c>
      <c r="G273">
        <f>IF(Eingabe_Ausgabe!$B$13=1,0,-COS(F273)*E273/m)</f>
        <v>0</v>
      </c>
      <c r="H273">
        <f>IF(Eingabe_Ausgabe!$B$13=1,g,g-SIN(F273)*E273/m)</f>
        <v>-9.81</v>
      </c>
      <c r="I273" s="4">
        <f t="shared" si="49"/>
        <v>0</v>
      </c>
      <c r="J273" s="4">
        <f t="shared" si="48"/>
        <v>0</v>
      </c>
      <c r="K273">
        <f t="shared" si="41"/>
        <v>0</v>
      </c>
      <c r="L273">
        <f t="shared" si="42"/>
        <v>-83.53847792285465</v>
      </c>
      <c r="M273">
        <f t="shared" si="43"/>
        <v>71709.46203570615</v>
      </c>
      <c r="N273">
        <f t="shared" si="44"/>
        <v>-556458.2018376658</v>
      </c>
      <c r="O273">
        <f t="shared" si="45"/>
        <v>71709.46203570615</v>
      </c>
      <c r="P273">
        <f t="shared" si="46"/>
        <v>-480821.3850876666</v>
      </c>
    </row>
    <row r="274" spans="2:16" ht="15">
      <c r="B274">
        <f t="shared" si="47"/>
        <v>13.250000000000053</v>
      </c>
      <c r="C274">
        <f>IF(Eingabe_Ausgabe!$B$13=1,Berechnung!C273,C273+G273*B274)</f>
        <v>41.00026417135857</v>
      </c>
      <c r="D274">
        <f>IF(Eingabe_Ausgabe!$B$13=1,Berechnung!D273+dt*g,D273+H273*B274)</f>
        <v>-362.5065527945484</v>
      </c>
      <c r="E274">
        <f>0.5*roh_luft*Eingabe_Ausgabe!$B$7*(C274*C274+D274*D274)</f>
        <v>9422161.358447107</v>
      </c>
      <c r="F274">
        <f t="shared" si="40"/>
        <v>-1.458172797192623</v>
      </c>
      <c r="G274">
        <f>IF(Eingabe_Ausgabe!$B$13=1,0,-COS(F274)*E274/m)</f>
        <v>0</v>
      </c>
      <c r="H274">
        <f>IF(Eingabe_Ausgabe!$B$13=1,g,g-SIN(F274)*E274/m)</f>
        <v>-9.81</v>
      </c>
      <c r="I274" s="4">
        <f t="shared" si="49"/>
        <v>0</v>
      </c>
      <c r="J274" s="4">
        <f t="shared" si="48"/>
        <v>0</v>
      </c>
      <c r="K274">
        <f t="shared" si="41"/>
        <v>0</v>
      </c>
      <c r="L274">
        <f t="shared" si="42"/>
        <v>-83.54714707992304</v>
      </c>
      <c r="M274">
        <f t="shared" si="43"/>
        <v>72252.71553597665</v>
      </c>
      <c r="N274">
        <f t="shared" si="44"/>
        <v>-561261.4136621936</v>
      </c>
      <c r="O274">
        <f t="shared" si="45"/>
        <v>72252.71553597665</v>
      </c>
      <c r="P274">
        <f t="shared" si="46"/>
        <v>-484763.4628496944</v>
      </c>
    </row>
    <row r="275" spans="2:16" ht="15">
      <c r="B275">
        <f t="shared" si="47"/>
        <v>13.300000000000054</v>
      </c>
      <c r="C275">
        <f>IF(Eingabe_Ausgabe!$B$13=1,Berechnung!C274,C274+G274*B275)</f>
        <v>41.00026417135857</v>
      </c>
      <c r="D275">
        <f>IF(Eingabe_Ausgabe!$B$13=1,Berechnung!D274+dt*g,D274+H274*B275)</f>
        <v>-362.9970527945484</v>
      </c>
      <c r="E275">
        <f>0.5*roh_luft*Eingabe_Ausgabe!$B$7*(C275*C275+D275*D275)</f>
        <v>9447354.196771527</v>
      </c>
      <c r="F275">
        <f t="shared" si="40"/>
        <v>-1.4583236987817514</v>
      </c>
      <c r="G275">
        <f>IF(Eingabe_Ausgabe!$B$13=1,0,-COS(F275)*E275/m)</f>
        <v>0</v>
      </c>
      <c r="H275">
        <f>IF(Eingabe_Ausgabe!$B$13=1,g,g-SIN(F275)*E275/m)</f>
        <v>-9.81</v>
      </c>
      <c r="I275" s="4">
        <f t="shared" si="49"/>
        <v>0</v>
      </c>
      <c r="J275" s="4">
        <f t="shared" si="48"/>
        <v>0</v>
      </c>
      <c r="K275">
        <f t="shared" si="41"/>
        <v>0</v>
      </c>
      <c r="L275">
        <f t="shared" si="42"/>
        <v>-83.55579310410191</v>
      </c>
      <c r="M275">
        <f t="shared" si="43"/>
        <v>72798.01904945572</v>
      </c>
      <c r="N275">
        <f t="shared" si="44"/>
        <v>-566089.2744643611</v>
      </c>
      <c r="O275">
        <f t="shared" si="45"/>
        <v>72798.01904945572</v>
      </c>
      <c r="P275">
        <f t="shared" si="46"/>
        <v>-488723.67820186197</v>
      </c>
    </row>
    <row r="276" spans="2:16" ht="15">
      <c r="B276">
        <f t="shared" si="47"/>
        <v>13.350000000000055</v>
      </c>
      <c r="C276">
        <f>IF(Eingabe_Ausgabe!$B$13=1,Berechnung!C275,C275+G275*B276)</f>
        <v>41.00026417135857</v>
      </c>
      <c r="D276">
        <f>IF(Eingabe_Ausgabe!$B$13=1,Berechnung!D275+dt*g,D275+H275*B276)</f>
        <v>-363.4875527945484</v>
      </c>
      <c r="E276">
        <f>0.5*roh_luft*Eingabe_Ausgabe!$B$7*(C276*C276+D276*D276)</f>
        <v>9472581.099949945</v>
      </c>
      <c r="F276">
        <f t="shared" si="40"/>
        <v>-1.4584741982328315</v>
      </c>
      <c r="G276">
        <f>IF(Eingabe_Ausgabe!$B$13=1,0,-COS(F276)*E276/m)</f>
        <v>0</v>
      </c>
      <c r="H276">
        <f>IF(Eingabe_Ausgabe!$B$13=1,g,g-SIN(F276)*E276/m)</f>
        <v>-9.81</v>
      </c>
      <c r="I276" s="4">
        <f t="shared" si="49"/>
        <v>0</v>
      </c>
      <c r="J276" s="4">
        <f t="shared" si="48"/>
        <v>0</v>
      </c>
      <c r="K276">
        <f t="shared" si="41"/>
        <v>0</v>
      </c>
      <c r="L276">
        <f t="shared" si="42"/>
        <v>-83.56441608746783</v>
      </c>
      <c r="M276">
        <f t="shared" si="43"/>
        <v>73345.37257614336</v>
      </c>
      <c r="N276">
        <f t="shared" si="44"/>
        <v>-570941.8332941683</v>
      </c>
      <c r="O276">
        <f t="shared" si="45"/>
        <v>73345.37257614336</v>
      </c>
      <c r="P276">
        <f t="shared" si="46"/>
        <v>-492702.05566916923</v>
      </c>
    </row>
    <row r="277" spans="2:16" ht="15">
      <c r="B277">
        <f t="shared" si="47"/>
        <v>13.400000000000055</v>
      </c>
      <c r="C277">
        <f>IF(Eingabe_Ausgabe!$B$13=1,Berechnung!C276,C276+G276*B277)</f>
        <v>41.00026417135857</v>
      </c>
      <c r="D277">
        <f>IF(Eingabe_Ausgabe!$B$13=1,Berechnung!D276+dt*g,D276+H276*B277)</f>
        <v>-363.9780527945484</v>
      </c>
      <c r="E277">
        <f>0.5*roh_luft*Eingabe_Ausgabe!$B$7*(C277*C277+D277*D277)</f>
        <v>9497842.067982351</v>
      </c>
      <c r="F277">
        <f t="shared" si="40"/>
        <v>-1.4586242971444223</v>
      </c>
      <c r="G277">
        <f>IF(Eingabe_Ausgabe!$B$13=1,0,-COS(F277)*E277/m)</f>
        <v>0</v>
      </c>
      <c r="H277">
        <f>IF(Eingabe_Ausgabe!$B$13=1,g,g-SIN(F277)*E277/m)</f>
        <v>-9.81</v>
      </c>
      <c r="I277" s="4">
        <f t="shared" si="49"/>
        <v>0</v>
      </c>
      <c r="J277" s="4">
        <f t="shared" si="48"/>
        <v>0</v>
      </c>
      <c r="K277">
        <f t="shared" si="41"/>
        <v>0</v>
      </c>
      <c r="L277">
        <f t="shared" si="42"/>
        <v>-83.57301612161149</v>
      </c>
      <c r="M277">
        <f t="shared" si="43"/>
        <v>73894.77611603956</v>
      </c>
      <c r="N277">
        <f t="shared" si="44"/>
        <v>-575819.1392016154</v>
      </c>
      <c r="O277">
        <f t="shared" si="45"/>
        <v>73894.77611603956</v>
      </c>
      <c r="P277">
        <f t="shared" si="46"/>
        <v>-496698.6197766162</v>
      </c>
    </row>
    <row r="278" spans="2:16" ht="15">
      <c r="B278">
        <f t="shared" si="47"/>
        <v>13.450000000000056</v>
      </c>
      <c r="C278">
        <f>IF(Eingabe_Ausgabe!$B$13=1,Berechnung!C277,C277+G277*B278)</f>
        <v>41.00026417135857</v>
      </c>
      <c r="D278">
        <f>IF(Eingabe_Ausgabe!$B$13=1,Berechnung!D277+dt*g,D277+H277*B278)</f>
        <v>-364.4685527945484</v>
      </c>
      <c r="E278">
        <f>0.5*roh_luft*Eingabe_Ausgabe!$B$7*(C278*C278+D278*D278)</f>
        <v>9523137.100868754</v>
      </c>
      <c r="F278">
        <f t="shared" si="40"/>
        <v>-1.458773997106657</v>
      </c>
      <c r="G278">
        <f>IF(Eingabe_Ausgabe!$B$13=1,0,-COS(F278)*E278/m)</f>
        <v>0</v>
      </c>
      <c r="H278">
        <f>IF(Eingabe_Ausgabe!$B$13=1,g,g-SIN(F278)*E278/m)</f>
        <v>-9.81</v>
      </c>
      <c r="I278" s="4">
        <f t="shared" si="49"/>
        <v>0</v>
      </c>
      <c r="J278" s="4">
        <f t="shared" si="48"/>
        <v>0</v>
      </c>
      <c r="K278">
        <f t="shared" si="41"/>
        <v>0</v>
      </c>
      <c r="L278">
        <f t="shared" si="42"/>
        <v>-83.58159329764081</v>
      </c>
      <c r="M278">
        <f t="shared" si="43"/>
        <v>74446.22966914433</v>
      </c>
      <c r="N278">
        <f t="shared" si="44"/>
        <v>-580721.2412367021</v>
      </c>
      <c r="O278">
        <f t="shared" si="45"/>
        <v>74446.22966914433</v>
      </c>
      <c r="P278">
        <f t="shared" si="46"/>
        <v>-500713.3950492029</v>
      </c>
    </row>
    <row r="279" spans="2:16" ht="15">
      <c r="B279">
        <f t="shared" si="47"/>
        <v>13.500000000000057</v>
      </c>
      <c r="C279">
        <f>IF(Eingabe_Ausgabe!$B$13=1,Berechnung!C278,C278+G278*B279)</f>
        <v>41.00026417135857</v>
      </c>
      <c r="D279">
        <f>IF(Eingabe_Ausgabe!$B$13=1,Berechnung!D278+dt*g,D278+H278*B279)</f>
        <v>-364.95905279454837</v>
      </c>
      <c r="E279">
        <f>0.5*roh_luft*Eingabe_Ausgabe!$B$7*(C279*C279+D279*D279)</f>
        <v>9548466.198609151</v>
      </c>
      <c r="F279">
        <f t="shared" si="40"/>
        <v>-1.4589232997012982</v>
      </c>
      <c r="G279">
        <f>IF(Eingabe_Ausgabe!$B$13=1,0,-COS(F279)*E279/m)</f>
        <v>0</v>
      </c>
      <c r="H279">
        <f>IF(Eingabe_Ausgabe!$B$13=1,g,g-SIN(F279)*E279/m)</f>
        <v>-9.81</v>
      </c>
      <c r="I279" s="4">
        <f t="shared" si="49"/>
        <v>0</v>
      </c>
      <c r="J279" s="4">
        <f t="shared" si="48"/>
        <v>0</v>
      </c>
      <c r="K279">
        <f t="shared" si="41"/>
        <v>0</v>
      </c>
      <c r="L279">
        <f t="shared" si="42"/>
        <v>-83.5901477061841</v>
      </c>
      <c r="M279">
        <f t="shared" si="43"/>
        <v>74999.73323545768</v>
      </c>
      <c r="N279">
        <f t="shared" si="44"/>
        <v>-585648.1884494285</v>
      </c>
      <c r="O279">
        <f t="shared" si="45"/>
        <v>74999.73323545768</v>
      </c>
      <c r="P279">
        <f t="shared" si="46"/>
        <v>-504746.4060119293</v>
      </c>
    </row>
    <row r="280" spans="2:16" ht="15">
      <c r="B280">
        <f t="shared" si="47"/>
        <v>13.550000000000058</v>
      </c>
      <c r="C280">
        <f>IF(Eingabe_Ausgabe!$B$13=1,Berechnung!C279,C279+G279*B280)</f>
        <v>41.00026417135857</v>
      </c>
      <c r="D280">
        <f>IF(Eingabe_Ausgabe!$B$13=1,Berechnung!D279+dt*g,D279+H279*B280)</f>
        <v>-365.44955279454837</v>
      </c>
      <c r="E280">
        <f>0.5*roh_luft*Eingabe_Ausgabe!$B$7*(C280*C280+D280*D280)</f>
        <v>9573829.36120354</v>
      </c>
      <c r="F280">
        <f t="shared" si="40"/>
        <v>-1.4590722065017945</v>
      </c>
      <c r="G280">
        <f>IF(Eingabe_Ausgabe!$B$13=1,0,-COS(F280)*E280/m)</f>
        <v>0</v>
      </c>
      <c r="H280">
        <f>IF(Eingabe_Ausgabe!$B$13=1,g,g-SIN(F280)*E280/m)</f>
        <v>-9.81</v>
      </c>
      <c r="I280" s="4">
        <f t="shared" si="49"/>
        <v>0</v>
      </c>
      <c r="J280" s="4">
        <f t="shared" si="48"/>
        <v>0</v>
      </c>
      <c r="K280">
        <f t="shared" si="41"/>
        <v>0</v>
      </c>
      <c r="L280">
        <f t="shared" si="42"/>
        <v>-83.59867943739334</v>
      </c>
      <c r="M280">
        <f t="shared" si="43"/>
        <v>75555.28681497958</v>
      </c>
      <c r="N280">
        <f t="shared" si="44"/>
        <v>-590600.0298897946</v>
      </c>
      <c r="O280">
        <f t="shared" si="45"/>
        <v>75555.28681497958</v>
      </c>
      <c r="P280">
        <f t="shared" si="46"/>
        <v>-508797.67718979553</v>
      </c>
    </row>
    <row r="281" spans="2:16" ht="15">
      <c r="B281">
        <f t="shared" si="47"/>
        <v>13.600000000000058</v>
      </c>
      <c r="C281">
        <f>IF(Eingabe_Ausgabe!$B$13=1,Berechnung!C280,C280+G280*B281)</f>
        <v>41.00026417135857</v>
      </c>
      <c r="D281">
        <f>IF(Eingabe_Ausgabe!$B$13=1,Berechnung!D280+dt*g,D280+H280*B281)</f>
        <v>-365.94005279454836</v>
      </c>
      <c r="E281">
        <f>0.5*roh_luft*Eingabe_Ausgabe!$B$7*(C281*C281+D281*D281)</f>
        <v>9599226.588651925</v>
      </c>
      <c r="F281">
        <f t="shared" si="40"/>
        <v>-1.4592207190733324</v>
      </c>
      <c r="G281">
        <f>IF(Eingabe_Ausgabe!$B$13=1,0,-COS(F281)*E281/m)</f>
        <v>0</v>
      </c>
      <c r="H281">
        <f>IF(Eingabe_Ausgabe!$B$13=1,g,g-SIN(F281)*E281/m)</f>
        <v>-9.81</v>
      </c>
      <c r="I281" s="4">
        <f t="shared" si="49"/>
        <v>0</v>
      </c>
      <c r="J281" s="4">
        <f t="shared" si="48"/>
        <v>0</v>
      </c>
      <c r="K281">
        <f t="shared" si="41"/>
        <v>0</v>
      </c>
      <c r="L281">
        <f t="shared" si="42"/>
        <v>-83.6071885809471</v>
      </c>
      <c r="M281">
        <f t="shared" si="43"/>
        <v>76112.89040771006</v>
      </c>
      <c r="N281">
        <f t="shared" si="44"/>
        <v>-595576.8146078006</v>
      </c>
      <c r="O281">
        <f t="shared" si="45"/>
        <v>76112.89040771006</v>
      </c>
      <c r="P281">
        <f t="shared" si="46"/>
        <v>-512867.2331078014</v>
      </c>
    </row>
    <row r="282" spans="2:16" ht="15">
      <c r="B282">
        <f t="shared" si="47"/>
        <v>13.650000000000059</v>
      </c>
      <c r="C282">
        <f>IF(Eingabe_Ausgabe!$B$13=1,Berechnung!C281,C281+G281*B282)</f>
        <v>41.00026417135857</v>
      </c>
      <c r="D282">
        <f>IF(Eingabe_Ausgabe!$B$13=1,Berechnung!D281+dt*g,D281+H281*B282)</f>
        <v>-366.43055279454836</v>
      </c>
      <c r="E282">
        <f>0.5*roh_luft*Eingabe_Ausgabe!$B$7*(C282*C282+D282*D282)</f>
        <v>9624657.880954301</v>
      </c>
      <c r="F282">
        <f t="shared" si="40"/>
        <v>-1.4593688389728916</v>
      </c>
      <c r="G282">
        <f>IF(Eingabe_Ausgabe!$B$13=1,0,-COS(F282)*E282/m)</f>
        <v>0</v>
      </c>
      <c r="H282">
        <f>IF(Eingabe_Ausgabe!$B$13=1,g,g-SIN(F282)*E282/m)</f>
        <v>-9.81</v>
      </c>
      <c r="I282" s="4">
        <f t="shared" si="49"/>
        <v>0</v>
      </c>
      <c r="J282" s="4">
        <f t="shared" si="48"/>
        <v>0</v>
      </c>
      <c r="K282">
        <f t="shared" si="41"/>
        <v>0</v>
      </c>
      <c r="L282">
        <f t="shared" si="42"/>
        <v>-83.61567522605374</v>
      </c>
      <c r="M282">
        <f t="shared" si="43"/>
        <v>76672.54401364911</v>
      </c>
      <c r="N282">
        <f t="shared" si="44"/>
        <v>-600578.5916534462</v>
      </c>
      <c r="O282">
        <f t="shared" si="45"/>
        <v>76672.54401364911</v>
      </c>
      <c r="P282">
        <f t="shared" si="46"/>
        <v>-516955.09829094703</v>
      </c>
    </row>
    <row r="283" spans="2:16" ht="15">
      <c r="B283">
        <f t="shared" si="47"/>
        <v>13.70000000000006</v>
      </c>
      <c r="C283">
        <f>IF(Eingabe_Ausgabe!$B$13=1,Berechnung!C282,C282+G282*B283)</f>
        <v>41.00026417135857</v>
      </c>
      <c r="D283">
        <f>IF(Eingabe_Ausgabe!$B$13=1,Berechnung!D282+dt*g,D282+H282*B283)</f>
        <v>-366.92105279454836</v>
      </c>
      <c r="E283">
        <f>0.5*roh_luft*Eingabe_Ausgabe!$B$7*(C283*C283+D283*D283)</f>
        <v>9650123.238110673</v>
      </c>
      <c r="F283">
        <f t="shared" si="40"/>
        <v>-1.459516567749298</v>
      </c>
      <c r="G283">
        <f>IF(Eingabe_Ausgabe!$B$13=1,0,-COS(F283)*E283/m)</f>
        <v>0</v>
      </c>
      <c r="H283">
        <f>IF(Eingabe_Ausgabe!$B$13=1,g,g-SIN(F283)*E283/m)</f>
        <v>-9.81</v>
      </c>
      <c r="I283" s="4">
        <f t="shared" si="49"/>
        <v>0</v>
      </c>
      <c r="J283" s="4">
        <f t="shared" si="48"/>
        <v>0</v>
      </c>
      <c r="K283">
        <f t="shared" si="41"/>
        <v>0</v>
      </c>
      <c r="L283">
        <f t="shared" si="42"/>
        <v>-83.62413946145446</v>
      </c>
      <c r="M283">
        <f t="shared" si="43"/>
        <v>77234.24763279673</v>
      </c>
      <c r="N283">
        <f t="shared" si="44"/>
        <v>-605605.4100767316</v>
      </c>
      <c r="O283">
        <f t="shared" si="45"/>
        <v>77234.24763279673</v>
      </c>
      <c r="P283">
        <f t="shared" si="46"/>
        <v>-521061.29726423236</v>
      </c>
    </row>
    <row r="284" spans="2:16" ht="15">
      <c r="B284">
        <f t="shared" si="47"/>
        <v>13.75000000000006</v>
      </c>
      <c r="C284">
        <f>IF(Eingabe_Ausgabe!$B$13=1,Berechnung!C283,C283+G283*B284)</f>
        <v>41.00026417135857</v>
      </c>
      <c r="D284">
        <f>IF(Eingabe_Ausgabe!$B$13=1,Berechnung!D283+dt*g,D283+H283*B284)</f>
        <v>-367.41155279454836</v>
      </c>
      <c r="E284">
        <f>0.5*roh_luft*Eingabe_Ausgabe!$B$7*(C284*C284+D284*D284)</f>
        <v>9675622.660121037</v>
      </c>
      <c r="F284">
        <f t="shared" si="40"/>
        <v>-1.4596639069432775</v>
      </c>
      <c r="G284">
        <f>IF(Eingabe_Ausgabe!$B$13=1,0,-COS(F284)*E284/m)</f>
        <v>0</v>
      </c>
      <c r="H284">
        <f>IF(Eingabe_Ausgabe!$B$13=1,g,g-SIN(F284)*E284/m)</f>
        <v>-9.81</v>
      </c>
      <c r="I284" s="4">
        <f t="shared" si="49"/>
        <v>0</v>
      </c>
      <c r="J284" s="4">
        <f t="shared" si="48"/>
        <v>0</v>
      </c>
      <c r="K284">
        <f t="shared" si="41"/>
        <v>0</v>
      </c>
      <c r="L284">
        <f t="shared" si="42"/>
        <v>-83.63258137542634</v>
      </c>
      <c r="M284">
        <f t="shared" si="43"/>
        <v>77798.00126515291</v>
      </c>
      <c r="N284">
        <f t="shared" si="44"/>
        <v>-610657.3189276566</v>
      </c>
      <c r="O284">
        <f t="shared" si="45"/>
        <v>77798.00126515291</v>
      </c>
      <c r="P284">
        <f t="shared" si="46"/>
        <v>-525185.8545526575</v>
      </c>
    </row>
    <row r="285" spans="2:16" ht="15">
      <c r="B285">
        <f t="shared" si="47"/>
        <v>13.800000000000061</v>
      </c>
      <c r="C285">
        <f>IF(Eingabe_Ausgabe!$B$13=1,Berechnung!C284,C284+G284*B285)</f>
        <v>41.00026417135857</v>
      </c>
      <c r="D285">
        <f>IF(Eingabe_Ausgabe!$B$13=1,Berechnung!D284+dt*g,D284+H284*B285)</f>
        <v>-367.90205279454835</v>
      </c>
      <c r="E285">
        <f>0.5*roh_luft*Eingabe_Ausgabe!$B$7*(C285*C285+D285*D285)</f>
        <v>9701156.146985395</v>
      </c>
      <c r="F285">
        <f t="shared" si="40"/>
        <v>-1.4598108580875073</v>
      </c>
      <c r="G285">
        <f>IF(Eingabe_Ausgabe!$B$13=1,0,-COS(F285)*E285/m)</f>
        <v>0</v>
      </c>
      <c r="H285">
        <f>IF(Eingabe_Ausgabe!$B$13=1,g,g-SIN(F285)*E285/m)</f>
        <v>-9.81</v>
      </c>
      <c r="I285" s="4">
        <f t="shared" si="49"/>
        <v>0</v>
      </c>
      <c r="J285" s="4">
        <f t="shared" si="48"/>
        <v>0</v>
      </c>
      <c r="K285">
        <f t="shared" si="41"/>
        <v>0</v>
      </c>
      <c r="L285">
        <f t="shared" si="42"/>
        <v>-83.64100105578532</v>
      </c>
      <c r="M285">
        <f t="shared" si="43"/>
        <v>78363.80491071766</v>
      </c>
      <c r="N285">
        <f t="shared" si="44"/>
        <v>-615734.3672562214</v>
      </c>
      <c r="O285">
        <f t="shared" si="45"/>
        <v>78363.80491071766</v>
      </c>
      <c r="P285">
        <f t="shared" si="46"/>
        <v>-529328.7946812223</v>
      </c>
    </row>
    <row r="286" spans="2:16" ht="15">
      <c r="B286">
        <f t="shared" si="47"/>
        <v>13.850000000000062</v>
      </c>
      <c r="C286">
        <f>IF(Eingabe_Ausgabe!$B$13=1,Berechnung!C285,C285+G285*B286)</f>
        <v>41.00026417135857</v>
      </c>
      <c r="D286">
        <f>IF(Eingabe_Ausgabe!$B$13=1,Berechnung!D285+dt*g,D285+H285*B286)</f>
        <v>-368.39255279454835</v>
      </c>
      <c r="E286">
        <f>0.5*roh_luft*Eingabe_Ausgabe!$B$7*(C286*C286+D286*D286)</f>
        <v>9726723.698703745</v>
      </c>
      <c r="F286">
        <f t="shared" si="40"/>
        <v>-1.45995742270667</v>
      </c>
      <c r="G286">
        <f>IF(Eingabe_Ausgabe!$B$13=1,0,-COS(F286)*E286/m)</f>
        <v>0</v>
      </c>
      <c r="H286">
        <f>IF(Eingabe_Ausgabe!$B$13=1,g,g-SIN(F286)*E286/m)</f>
        <v>-9.81</v>
      </c>
      <c r="I286" s="4">
        <f t="shared" si="49"/>
        <v>0</v>
      </c>
      <c r="J286" s="4">
        <f t="shared" si="48"/>
        <v>0</v>
      </c>
      <c r="K286">
        <f t="shared" si="41"/>
        <v>0</v>
      </c>
      <c r="L286">
        <f t="shared" si="42"/>
        <v>-83.6493985898893</v>
      </c>
      <c r="M286">
        <f t="shared" si="43"/>
        <v>78931.65856949099</v>
      </c>
      <c r="N286">
        <f t="shared" si="44"/>
        <v>-620836.6041124259</v>
      </c>
      <c r="O286">
        <f t="shared" si="45"/>
        <v>78931.65856949099</v>
      </c>
      <c r="P286">
        <f t="shared" si="46"/>
        <v>-533490.1421749268</v>
      </c>
    </row>
    <row r="287" spans="2:16" ht="15">
      <c r="B287">
        <f t="shared" si="47"/>
        <v>13.900000000000063</v>
      </c>
      <c r="C287">
        <f>IF(Eingabe_Ausgabe!$B$13=1,Berechnung!C286,C286+G286*B287)</f>
        <v>41.00026417135857</v>
      </c>
      <c r="D287">
        <f>IF(Eingabe_Ausgabe!$B$13=1,Berechnung!D286+dt*g,D286+H286*B287)</f>
        <v>-368.88305279454835</v>
      </c>
      <c r="E287">
        <f>0.5*roh_luft*Eingabe_Ausgabe!$B$7*(C287*C287+D287*D287)</f>
        <v>9752325.315276092</v>
      </c>
      <c r="F287">
        <f t="shared" si="40"/>
        <v>-1.4601036023175034</v>
      </c>
      <c r="G287">
        <f>IF(Eingabe_Ausgabe!$B$13=1,0,-COS(F287)*E287/m)</f>
        <v>0</v>
      </c>
      <c r="H287">
        <f>IF(Eingabe_Ausgabe!$B$13=1,g,g-SIN(F287)*E287/m)</f>
        <v>-9.81</v>
      </c>
      <c r="I287" s="4">
        <f t="shared" si="49"/>
        <v>0</v>
      </c>
      <c r="J287" s="4">
        <f t="shared" si="48"/>
        <v>0</v>
      </c>
      <c r="K287">
        <f t="shared" si="41"/>
        <v>0</v>
      </c>
      <c r="L287">
        <f t="shared" si="42"/>
        <v>-83.6577740646409</v>
      </c>
      <c r="M287">
        <f t="shared" si="43"/>
        <v>79501.56224147287</v>
      </c>
      <c r="N287">
        <f t="shared" si="44"/>
        <v>-625964.0785462701</v>
      </c>
      <c r="O287">
        <f t="shared" si="45"/>
        <v>79501.56224147287</v>
      </c>
      <c r="P287">
        <f t="shared" si="46"/>
        <v>-537669.921558771</v>
      </c>
    </row>
    <row r="288" spans="2:16" ht="15">
      <c r="B288">
        <f t="shared" si="47"/>
        <v>13.950000000000063</v>
      </c>
      <c r="C288">
        <f>IF(Eingabe_Ausgabe!$B$13=1,Berechnung!C287,C287+G287*B288)</f>
        <v>41.00026417135857</v>
      </c>
      <c r="D288">
        <f>IF(Eingabe_Ausgabe!$B$13=1,Berechnung!D287+dt*g,D287+H287*B288)</f>
        <v>-369.37355279454835</v>
      </c>
      <c r="E288">
        <f>0.5*roh_luft*Eingabe_Ausgabe!$B$7*(C288*C288+D288*D288)</f>
        <v>9777960.99670243</v>
      </c>
      <c r="F288">
        <f t="shared" si="40"/>
        <v>-1.4602493984288536</v>
      </c>
      <c r="G288">
        <f>IF(Eingabe_Ausgabe!$B$13=1,0,-COS(F288)*E288/m)</f>
        <v>0</v>
      </c>
      <c r="H288">
        <f>IF(Eingabe_Ausgabe!$B$13=1,g,g-SIN(F288)*E288/m)</f>
        <v>-9.81</v>
      </c>
      <c r="I288" s="4">
        <f t="shared" si="49"/>
        <v>0</v>
      </c>
      <c r="J288" s="4">
        <f t="shared" si="48"/>
        <v>0</v>
      </c>
      <c r="K288">
        <f t="shared" si="41"/>
        <v>0</v>
      </c>
      <c r="L288">
        <f t="shared" si="42"/>
        <v>-83.6661275664907</v>
      </c>
      <c r="M288">
        <f t="shared" si="43"/>
        <v>80073.51592666333</v>
      </c>
      <c r="N288">
        <f t="shared" si="44"/>
        <v>-631116.8396077541</v>
      </c>
      <c r="O288">
        <f t="shared" si="45"/>
        <v>80073.51592666333</v>
      </c>
      <c r="P288">
        <f t="shared" si="46"/>
        <v>-541868.1573577551</v>
      </c>
    </row>
    <row r="289" spans="2:16" ht="15">
      <c r="B289">
        <f t="shared" si="47"/>
        <v>14.000000000000064</v>
      </c>
      <c r="C289">
        <f>IF(Eingabe_Ausgabe!$B$13=1,Berechnung!C288,C288+G288*B289)</f>
        <v>41.00026417135857</v>
      </c>
      <c r="D289">
        <f>IF(Eingabe_Ausgabe!$B$13=1,Berechnung!D288+dt*g,D288+H288*B289)</f>
        <v>-369.86405279454834</v>
      </c>
      <c r="E289">
        <f>0.5*roh_luft*Eingabe_Ausgabe!$B$7*(C289*C289+D289*D289)</f>
        <v>9803630.742982764</v>
      </c>
      <c r="F289">
        <f t="shared" si="40"/>
        <v>-1.4603948125417254</v>
      </c>
      <c r="G289">
        <f>IF(Eingabe_Ausgabe!$B$13=1,0,-COS(F289)*E289/m)</f>
        <v>0</v>
      </c>
      <c r="H289">
        <f>IF(Eingabe_Ausgabe!$B$13=1,g,g-SIN(F289)*E289/m)</f>
        <v>-9.81</v>
      </c>
      <c r="I289" s="4">
        <f t="shared" si="49"/>
        <v>0</v>
      </c>
      <c r="J289" s="4">
        <f t="shared" si="48"/>
        <v>0</v>
      </c>
      <c r="K289">
        <f t="shared" si="41"/>
        <v>0</v>
      </c>
      <c r="L289">
        <f t="shared" si="42"/>
        <v>-83.67445918143989</v>
      </c>
      <c r="M289">
        <f t="shared" si="43"/>
        <v>80647.51962506236</v>
      </c>
      <c r="N289">
        <f t="shared" si="44"/>
        <v>-636294.9363468778</v>
      </c>
      <c r="O289">
        <f t="shared" si="45"/>
        <v>80647.51962506236</v>
      </c>
      <c r="P289">
        <f t="shared" si="46"/>
        <v>-546084.8740968788</v>
      </c>
    </row>
    <row r="290" spans="2:16" ht="15">
      <c r="B290">
        <f t="shared" si="47"/>
        <v>14.050000000000065</v>
      </c>
      <c r="C290">
        <f>IF(Eingabe_Ausgabe!$B$13=1,Berechnung!C289,C289+G289*B290)</f>
        <v>41.00026417135857</v>
      </c>
      <c r="D290">
        <f>IF(Eingabe_Ausgabe!$B$13=1,Berechnung!D289+dt*g,D289+H289*B290)</f>
        <v>-370.35455279454834</v>
      </c>
      <c r="E290">
        <f>0.5*roh_luft*Eingabe_Ausgabe!$B$7*(C290*C290+D290*D290)</f>
        <v>9829334.55411709</v>
      </c>
      <c r="F290">
        <f t="shared" si="40"/>
        <v>-1.4605398461493326</v>
      </c>
      <c r="G290">
        <f>IF(Eingabe_Ausgabe!$B$13=1,0,-COS(F290)*E290/m)</f>
        <v>0</v>
      </c>
      <c r="H290">
        <f>IF(Eingabe_Ausgabe!$B$13=1,g,g-SIN(F290)*E290/m)</f>
        <v>-9.81</v>
      </c>
      <c r="I290" s="4">
        <f t="shared" si="49"/>
        <v>0</v>
      </c>
      <c r="J290" s="4">
        <f t="shared" si="48"/>
        <v>0</v>
      </c>
      <c r="K290">
        <f t="shared" si="41"/>
        <v>0</v>
      </c>
      <c r="L290">
        <f t="shared" si="42"/>
        <v>-83.68276899504335</v>
      </c>
      <c r="M290">
        <f t="shared" si="43"/>
        <v>81223.57333666994</v>
      </c>
      <c r="N290">
        <f t="shared" si="44"/>
        <v>-641498.4178136413</v>
      </c>
      <c r="O290">
        <f t="shared" si="45"/>
        <v>81223.57333666994</v>
      </c>
      <c r="P290">
        <f t="shared" si="46"/>
        <v>-550320.0963011422</v>
      </c>
    </row>
    <row r="291" spans="2:16" ht="15">
      <c r="B291">
        <f t="shared" si="47"/>
        <v>14.100000000000065</v>
      </c>
      <c r="C291">
        <f>IF(Eingabe_Ausgabe!$B$13=1,Berechnung!C290,C290+G290*B291)</f>
        <v>41.00026417135857</v>
      </c>
      <c r="D291">
        <f>IF(Eingabe_Ausgabe!$B$13=1,Berechnung!D290+dt*g,D290+H290*B291)</f>
        <v>-370.84505279454834</v>
      </c>
      <c r="E291">
        <f>0.5*roh_luft*Eingabe_Ausgabe!$B$7*(C291*C291+D291*D291)</f>
        <v>9855072.430105409</v>
      </c>
      <c r="F291">
        <f t="shared" si="40"/>
        <v>-1.4606845007371492</v>
      </c>
      <c r="G291">
        <f>IF(Eingabe_Ausgabe!$B$13=1,0,-COS(F291)*E291/m)</f>
        <v>0</v>
      </c>
      <c r="H291">
        <f>IF(Eingabe_Ausgabe!$B$13=1,g,g-SIN(F291)*E291/m)</f>
        <v>-9.81</v>
      </c>
      <c r="I291" s="4">
        <f t="shared" si="49"/>
        <v>0</v>
      </c>
      <c r="J291" s="4">
        <f t="shared" si="48"/>
        <v>0</v>
      </c>
      <c r="K291">
        <f t="shared" si="41"/>
        <v>0</v>
      </c>
      <c r="L291">
        <f t="shared" si="42"/>
        <v>-83.69105709241244</v>
      </c>
      <c r="M291">
        <f t="shared" si="43"/>
        <v>81801.6770614861</v>
      </c>
      <c r="N291">
        <f t="shared" si="44"/>
        <v>-646727.3330580444</v>
      </c>
      <c r="O291">
        <f t="shared" si="45"/>
        <v>81801.6770614861</v>
      </c>
      <c r="P291">
        <f t="shared" si="46"/>
        <v>-554573.8484955453</v>
      </c>
    </row>
    <row r="292" spans="2:16" ht="15">
      <c r="B292">
        <f t="shared" si="47"/>
        <v>14.150000000000066</v>
      </c>
      <c r="C292">
        <f>IF(Eingabe_Ausgabe!$B$13=1,Berechnung!C291,C291+G291*B292)</f>
        <v>41.00026417135857</v>
      </c>
      <c r="D292">
        <f>IF(Eingabe_Ausgabe!$B$13=1,Berechnung!D291+dt*g,D291+H291*B292)</f>
        <v>-371.33555279454833</v>
      </c>
      <c r="E292">
        <f>0.5*roh_luft*Eingabe_Ausgabe!$B$7*(C292*C292+D292*D292)</f>
        <v>9880844.370947722</v>
      </c>
      <c r="F292">
        <f t="shared" si="40"/>
        <v>-1.460828777782958</v>
      </c>
      <c r="G292">
        <f>IF(Eingabe_Ausgabe!$B$13=1,0,-COS(F292)*E292/m)</f>
        <v>0</v>
      </c>
      <c r="H292">
        <f>IF(Eingabe_Ausgabe!$B$13=1,g,g-SIN(F292)*E292/m)</f>
        <v>-9.81</v>
      </c>
      <c r="I292" s="4">
        <f t="shared" si="49"/>
        <v>0</v>
      </c>
      <c r="J292" s="4">
        <f t="shared" si="48"/>
        <v>0</v>
      </c>
      <c r="K292">
        <f t="shared" si="41"/>
        <v>0</v>
      </c>
      <c r="L292">
        <f t="shared" si="42"/>
        <v>-83.6993235582179</v>
      </c>
      <c r="M292">
        <f t="shared" si="43"/>
        <v>82381.83079951083</v>
      </c>
      <c r="N292">
        <f t="shared" si="44"/>
        <v>-651981.7311300873</v>
      </c>
      <c r="O292">
        <f t="shared" si="45"/>
        <v>82381.83079951083</v>
      </c>
      <c r="P292">
        <f t="shared" si="46"/>
        <v>-558846.1552050882</v>
      </c>
    </row>
    <row r="293" spans="2:16" ht="15">
      <c r="B293">
        <f t="shared" si="47"/>
        <v>14.200000000000067</v>
      </c>
      <c r="C293">
        <f>IF(Eingabe_Ausgabe!$B$13=1,Berechnung!C292,C292+G292*B293)</f>
        <v>41.00026417135857</v>
      </c>
      <c r="D293">
        <f>IF(Eingabe_Ausgabe!$B$13=1,Berechnung!D292+dt*g,D292+H292*B293)</f>
        <v>-371.82605279454833</v>
      </c>
      <c r="E293">
        <f>0.5*roh_luft*Eingabe_Ausgabe!$B$7*(C293*C293+D293*D293)</f>
        <v>9906650.37664403</v>
      </c>
      <c r="F293">
        <f t="shared" si="40"/>
        <v>-1.4609726787569017</v>
      </c>
      <c r="G293">
        <f>IF(Eingabe_Ausgabe!$B$13=1,0,-COS(F293)*E293/m)</f>
        <v>0</v>
      </c>
      <c r="H293">
        <f>IF(Eingabe_Ausgabe!$B$13=1,g,g-SIN(F293)*E293/m)</f>
        <v>-9.81</v>
      </c>
      <c r="I293" s="4">
        <f t="shared" si="49"/>
        <v>0</v>
      </c>
      <c r="J293" s="4">
        <f t="shared" si="48"/>
        <v>0</v>
      </c>
      <c r="K293">
        <f t="shared" si="41"/>
        <v>0</v>
      </c>
      <c r="L293">
        <f t="shared" si="42"/>
        <v>-83.70756847669269</v>
      </c>
      <c r="M293">
        <f t="shared" si="43"/>
        <v>82964.03455074412</v>
      </c>
      <c r="N293">
        <f t="shared" si="44"/>
        <v>-657261.6610797698</v>
      </c>
      <c r="O293">
        <f t="shared" si="45"/>
        <v>82964.03455074412</v>
      </c>
      <c r="P293">
        <f t="shared" si="46"/>
        <v>-563137.0409547709</v>
      </c>
    </row>
    <row r="294" spans="2:16" ht="15">
      <c r="B294">
        <f t="shared" si="47"/>
        <v>14.250000000000068</v>
      </c>
      <c r="C294">
        <f>IF(Eingabe_Ausgabe!$B$13=1,Berechnung!C293,C293+G293*B294)</f>
        <v>41.00026417135857</v>
      </c>
      <c r="D294">
        <f>IF(Eingabe_Ausgabe!$B$13=1,Berechnung!D293+dt*g,D293+H293*B294)</f>
        <v>-372.31655279454833</v>
      </c>
      <c r="E294">
        <f>0.5*roh_luft*Eingabe_Ausgabe!$B$7*(C294*C294+D294*D294)</f>
        <v>9932490.447194332</v>
      </c>
      <c r="F294">
        <f t="shared" si="40"/>
        <v>-1.4611162051215307</v>
      </c>
      <c r="G294">
        <f>IF(Eingabe_Ausgabe!$B$13=1,0,-COS(F294)*E294/m)</f>
        <v>0</v>
      </c>
      <c r="H294">
        <f>IF(Eingabe_Ausgabe!$B$13=1,g,g-SIN(F294)*E294/m)</f>
        <v>-9.81</v>
      </c>
      <c r="I294" s="4">
        <f t="shared" si="49"/>
        <v>0</v>
      </c>
      <c r="J294" s="4">
        <f t="shared" si="48"/>
        <v>0</v>
      </c>
      <c r="K294">
        <f t="shared" si="41"/>
        <v>0</v>
      </c>
      <c r="L294">
        <f t="shared" si="42"/>
        <v>-83.71579193163478</v>
      </c>
      <c r="M294">
        <f t="shared" si="43"/>
        <v>83548.28831518599</v>
      </c>
      <c r="N294">
        <f t="shared" si="44"/>
        <v>-662567.1719570921</v>
      </c>
      <c r="O294">
        <f t="shared" si="45"/>
        <v>83548.28831518599</v>
      </c>
      <c r="P294">
        <f t="shared" si="46"/>
        <v>-567446.5302695932</v>
      </c>
    </row>
    <row r="295" spans="2:16" ht="15">
      <c r="B295">
        <f t="shared" si="47"/>
        <v>14.300000000000068</v>
      </c>
      <c r="C295">
        <f>IF(Eingabe_Ausgabe!$B$13=1,Berechnung!C294,C294+G294*B295)</f>
        <v>41.00026417135857</v>
      </c>
      <c r="D295">
        <f>IF(Eingabe_Ausgabe!$B$13=1,Berechnung!D294+dt*g,D294+H294*B295)</f>
        <v>-372.8070527945483</v>
      </c>
      <c r="E295">
        <f>0.5*roh_luft*Eingabe_Ausgabe!$B$7*(C295*C295+D295*D295)</f>
        <v>9958364.582598627</v>
      </c>
      <c r="F295">
        <f t="shared" si="40"/>
        <v>-1.4612593583318523</v>
      </c>
      <c r="G295">
        <f>IF(Eingabe_Ausgabe!$B$13=1,0,-COS(F295)*E295/m)</f>
        <v>0</v>
      </c>
      <c r="H295">
        <f>IF(Eingabe_Ausgabe!$B$13=1,g,g-SIN(F295)*E295/m)</f>
        <v>-9.81</v>
      </c>
      <c r="I295" s="4">
        <f t="shared" si="49"/>
        <v>0</v>
      </c>
      <c r="J295" s="4">
        <f t="shared" si="48"/>
        <v>0</v>
      </c>
      <c r="K295">
        <f t="shared" si="41"/>
        <v>0</v>
      </c>
      <c r="L295">
        <f t="shared" si="42"/>
        <v>-83.72399400640997</v>
      </c>
      <c r="M295">
        <f t="shared" si="43"/>
        <v>84134.59209283642</v>
      </c>
      <c r="N295">
        <f t="shared" si="44"/>
        <v>-667898.3128120542</v>
      </c>
      <c r="O295">
        <f t="shared" si="45"/>
        <v>84134.59209283642</v>
      </c>
      <c r="P295">
        <f t="shared" si="46"/>
        <v>-571774.6476745553</v>
      </c>
    </row>
    <row r="296" spans="2:16" ht="15">
      <c r="B296">
        <f t="shared" si="47"/>
        <v>14.350000000000069</v>
      </c>
      <c r="C296">
        <f>IF(Eingabe_Ausgabe!$B$13=1,Berechnung!C295,C295+G295*B296)</f>
        <v>41.00026417135857</v>
      </c>
      <c r="D296">
        <f>IF(Eingabe_Ausgabe!$B$13=1,Berechnung!D295+dt*g,D295+H295*B296)</f>
        <v>-373.2975527945483</v>
      </c>
      <c r="E296">
        <f>0.5*roh_luft*Eingabe_Ausgabe!$B$7*(C296*C296+D296*D296)</f>
        <v>9984272.782856915</v>
      </c>
      <c r="F296">
        <f t="shared" si="40"/>
        <v>-1.4614021398353787</v>
      </c>
      <c r="G296">
        <f>IF(Eingabe_Ausgabe!$B$13=1,0,-COS(F296)*E296/m)</f>
        <v>0</v>
      </c>
      <c r="H296">
        <f>IF(Eingabe_Ausgabe!$B$13=1,g,g-SIN(F296)*E296/m)</f>
        <v>-9.81</v>
      </c>
      <c r="I296" s="4">
        <f t="shared" si="49"/>
        <v>0</v>
      </c>
      <c r="J296" s="4">
        <f t="shared" si="48"/>
        <v>0</v>
      </c>
      <c r="K296">
        <f t="shared" si="41"/>
        <v>0</v>
      </c>
      <c r="L296">
        <f t="shared" si="42"/>
        <v>-83.73217478395456</v>
      </c>
      <c r="M296">
        <f t="shared" si="43"/>
        <v>84722.94588369541</v>
      </c>
      <c r="N296">
        <f t="shared" si="44"/>
        <v>-673255.132694656</v>
      </c>
      <c r="O296">
        <f t="shared" si="45"/>
        <v>84722.94588369541</v>
      </c>
      <c r="P296">
        <f t="shared" si="46"/>
        <v>-576121.4176946571</v>
      </c>
    </row>
    <row r="297" spans="2:16" ht="15">
      <c r="B297">
        <f t="shared" si="47"/>
        <v>14.40000000000007</v>
      </c>
      <c r="C297">
        <f>IF(Eingabe_Ausgabe!$B$13=1,Berechnung!C296,C296+G296*B297)</f>
        <v>41.00026417135857</v>
      </c>
      <c r="D297">
        <f>IF(Eingabe_Ausgabe!$B$13=1,Berechnung!D296+dt*g,D296+H296*B297)</f>
        <v>-373.7880527945483</v>
      </c>
      <c r="E297">
        <f>0.5*roh_luft*Eingabe_Ausgabe!$B$7*(C297*C297+D297*D297)</f>
        <v>10010215.047969196</v>
      </c>
      <c r="F297">
        <f t="shared" si="40"/>
        <v>-1.4615445510721758</v>
      </c>
      <c r="G297">
        <f>IF(Eingabe_Ausgabe!$B$13=1,0,-COS(F297)*E297/m)</f>
        <v>0</v>
      </c>
      <c r="H297">
        <f>IF(Eingabe_Ausgabe!$B$13=1,g,g-SIN(F297)*E297/m)</f>
        <v>-9.81</v>
      </c>
      <c r="I297" s="4">
        <f t="shared" si="49"/>
        <v>0</v>
      </c>
      <c r="J297" s="4">
        <f t="shared" si="48"/>
        <v>0</v>
      </c>
      <c r="K297">
        <f t="shared" si="41"/>
        <v>0</v>
      </c>
      <c r="L297">
        <f t="shared" si="42"/>
        <v>-83.74033434677827</v>
      </c>
      <c r="M297">
        <f t="shared" si="43"/>
        <v>85313.34968776298</v>
      </c>
      <c r="N297">
        <f t="shared" si="44"/>
        <v>-678637.6806548976</v>
      </c>
      <c r="O297">
        <f t="shared" si="45"/>
        <v>85313.34968776298</v>
      </c>
      <c r="P297">
        <f t="shared" si="46"/>
        <v>-580486.8648548987</v>
      </c>
    </row>
    <row r="298" spans="2:16" ht="15">
      <c r="B298">
        <f t="shared" si="47"/>
        <v>14.45000000000007</v>
      </c>
      <c r="C298">
        <f>IF(Eingabe_Ausgabe!$B$13=1,Berechnung!C297,C297+G297*B298)</f>
        <v>41.00026417135857</v>
      </c>
      <c r="D298">
        <f>IF(Eingabe_Ausgabe!$B$13=1,Berechnung!D297+dt*g,D297+H297*B298)</f>
        <v>-374.2785527945483</v>
      </c>
      <c r="E298">
        <f>0.5*roh_luft*Eingabe_Ausgabe!$B$7*(C298*C298+D298*D298)</f>
        <v>10036191.377935473</v>
      </c>
      <c r="F298">
        <f t="shared" si="40"/>
        <v>-1.4616865934749108</v>
      </c>
      <c r="G298">
        <f>IF(Eingabe_Ausgabe!$B$13=1,0,-COS(F298)*E298/m)</f>
        <v>0</v>
      </c>
      <c r="H298">
        <f>IF(Eingabe_Ausgabe!$B$13=1,g,g-SIN(F298)*E298/m)</f>
        <v>-9.81</v>
      </c>
      <c r="I298" s="4">
        <f t="shared" si="49"/>
        <v>0</v>
      </c>
      <c r="J298" s="4">
        <f t="shared" si="48"/>
        <v>0</v>
      </c>
      <c r="K298">
        <f t="shared" si="41"/>
        <v>0</v>
      </c>
      <c r="L298">
        <f t="shared" si="42"/>
        <v>-83.74847277696688</v>
      </c>
      <c r="M298">
        <f t="shared" si="43"/>
        <v>85905.80350503912</v>
      </c>
      <c r="N298">
        <f t="shared" si="44"/>
        <v>-684046.0057427789</v>
      </c>
      <c r="O298">
        <f t="shared" si="45"/>
        <v>85905.80350503912</v>
      </c>
      <c r="P298">
        <f t="shared" si="46"/>
        <v>-584871.01368028</v>
      </c>
    </row>
    <row r="299" spans="2:16" ht="15">
      <c r="B299">
        <f t="shared" si="47"/>
        <v>14.500000000000071</v>
      </c>
      <c r="C299">
        <f>IF(Eingabe_Ausgabe!$B$13=1,Berechnung!C298,C298+G298*B299)</f>
        <v>41.00026417135857</v>
      </c>
      <c r="D299">
        <f>IF(Eingabe_Ausgabe!$B$13=1,Berechnung!D298+dt*g,D298+H298*B299)</f>
        <v>-374.7690527945483</v>
      </c>
      <c r="E299">
        <f>0.5*roh_luft*Eingabe_Ausgabe!$B$7*(C299*C299+D299*D299)</f>
        <v>10062201.772755742</v>
      </c>
      <c r="F299">
        <f t="shared" si="40"/>
        <v>-1.461828268468898</v>
      </c>
      <c r="G299">
        <f>IF(Eingabe_Ausgabe!$B$13=1,0,-COS(F299)*E299/m)</f>
        <v>0</v>
      </c>
      <c r="H299">
        <f>IF(Eingabe_Ausgabe!$B$13=1,g,g-SIN(F299)*E299/m)</f>
        <v>-9.81</v>
      </c>
      <c r="I299" s="4">
        <f t="shared" si="49"/>
        <v>0</v>
      </c>
      <c r="J299" s="4">
        <f t="shared" si="48"/>
        <v>0</v>
      </c>
      <c r="K299">
        <f t="shared" si="41"/>
        <v>0</v>
      </c>
      <c r="L299">
        <f t="shared" si="42"/>
        <v>-83.75659015618488</v>
      </c>
      <c r="M299">
        <f t="shared" si="43"/>
        <v>86500.30733552382</v>
      </c>
      <c r="N299">
        <f t="shared" si="44"/>
        <v>-689480.1570082998</v>
      </c>
      <c r="O299">
        <f t="shared" si="45"/>
        <v>86500.30733552382</v>
      </c>
      <c r="P299">
        <f t="shared" si="46"/>
        <v>-589273.8886958009</v>
      </c>
    </row>
    <row r="300" spans="2:16" ht="15">
      <c r="B300">
        <f t="shared" si="47"/>
        <v>14.550000000000072</v>
      </c>
      <c r="C300">
        <f>IF(Eingabe_Ausgabe!$B$13=1,Berechnung!C299,C299+G299*B300)</f>
        <v>41.00026417135857</v>
      </c>
      <c r="D300">
        <f>IF(Eingabe_Ausgabe!$B$13=1,Berechnung!D299+dt*g,D299+H299*B300)</f>
        <v>-375.2595527945483</v>
      </c>
      <c r="E300">
        <f>0.5*roh_luft*Eingabe_Ausgabe!$B$7*(C300*C300+D300*D300)</f>
        <v>10088246.232430004</v>
      </c>
      <c r="F300">
        <f t="shared" si="40"/>
        <v>-1.461969577472147</v>
      </c>
      <c r="G300">
        <f>IF(Eingabe_Ausgabe!$B$13=1,0,-COS(F300)*E300/m)</f>
        <v>0</v>
      </c>
      <c r="H300">
        <f>IF(Eingabe_Ausgabe!$B$13=1,g,g-SIN(F300)*E300/m)</f>
        <v>-9.81</v>
      </c>
      <c r="I300" s="4">
        <f t="shared" si="49"/>
        <v>0</v>
      </c>
      <c r="J300" s="4">
        <f t="shared" si="48"/>
        <v>0</v>
      </c>
      <c r="K300">
        <f t="shared" si="41"/>
        <v>0</v>
      </c>
      <c r="L300">
        <f t="shared" si="42"/>
        <v>-83.76468656567826</v>
      </c>
      <c r="M300">
        <f t="shared" si="43"/>
        <v>87096.86117921709</v>
      </c>
      <c r="N300">
        <f t="shared" si="44"/>
        <v>-694940.1835014606</v>
      </c>
      <c r="O300">
        <f t="shared" si="45"/>
        <v>87096.86117921709</v>
      </c>
      <c r="P300">
        <f t="shared" si="46"/>
        <v>-593695.5144264617</v>
      </c>
    </row>
    <row r="301" spans="2:16" ht="15">
      <c r="B301">
        <f t="shared" si="47"/>
        <v>14.600000000000072</v>
      </c>
      <c r="C301">
        <f>IF(Eingabe_Ausgabe!$B$13=1,Berechnung!C300,C300+G300*B301)</f>
        <v>41.00026417135857</v>
      </c>
      <c r="D301">
        <f>IF(Eingabe_Ausgabe!$B$13=1,Berechnung!D300+dt*g,D300+H300*B301)</f>
        <v>-375.7500527945483</v>
      </c>
      <c r="E301">
        <f>0.5*roh_luft*Eingabe_Ausgabe!$B$7*(C301*C301+D301*D301)</f>
        <v>10114324.75695826</v>
      </c>
      <c r="F301">
        <f t="shared" si="40"/>
        <v>-1.46211052189541</v>
      </c>
      <c r="G301">
        <f>IF(Eingabe_Ausgabe!$B$13=1,0,-COS(F301)*E301/m)</f>
        <v>0</v>
      </c>
      <c r="H301">
        <f>IF(Eingabe_Ausgabe!$B$13=1,g,g-SIN(F301)*E301/m)</f>
        <v>-9.81</v>
      </c>
      <c r="I301" s="4">
        <f t="shared" si="49"/>
        <v>0</v>
      </c>
      <c r="J301" s="4">
        <f t="shared" si="48"/>
        <v>0</v>
      </c>
      <c r="K301">
        <f t="shared" si="41"/>
        <v>0</v>
      </c>
      <c r="L301">
        <f t="shared" si="42"/>
        <v>-83.77276208627714</v>
      </c>
      <c r="M301">
        <f t="shared" si="43"/>
        <v>87695.46503611893</v>
      </c>
      <c r="N301">
        <f t="shared" si="44"/>
        <v>-700426.134272261</v>
      </c>
      <c r="O301">
        <f t="shared" si="45"/>
        <v>87695.46503611893</v>
      </c>
      <c r="P301">
        <f t="shared" si="46"/>
        <v>-598135.9153972621</v>
      </c>
    </row>
    <row r="302" spans="2:16" ht="15">
      <c r="B302">
        <f t="shared" si="47"/>
        <v>14.650000000000073</v>
      </c>
      <c r="C302">
        <f>IF(Eingabe_Ausgabe!$B$13=1,Berechnung!C301,C301+G301*B302)</f>
        <v>41.00026417135857</v>
      </c>
      <c r="D302">
        <f>IF(Eingabe_Ausgabe!$B$13=1,Berechnung!D301+dt*g,D301+H301*B302)</f>
        <v>-376.2405527945483</v>
      </c>
      <c r="E302">
        <f>0.5*roh_luft*Eingabe_Ausgabe!$B$7*(C302*C302+D302*D302)</f>
        <v>10140437.346340511</v>
      </c>
      <c r="F302">
        <f t="shared" si="40"/>
        <v>-1.4622511031422258</v>
      </c>
      <c r="G302">
        <f>IF(Eingabe_Ausgabe!$B$13=1,0,-COS(F302)*E302/m)</f>
        <v>0</v>
      </c>
      <c r="H302">
        <f>IF(Eingabe_Ausgabe!$B$13=1,g,g-SIN(F302)*E302/m)</f>
        <v>-9.81</v>
      </c>
      <c r="I302" s="4">
        <f t="shared" si="49"/>
        <v>0</v>
      </c>
      <c r="J302" s="4">
        <f t="shared" si="48"/>
        <v>0</v>
      </c>
      <c r="K302">
        <f t="shared" si="41"/>
        <v>0</v>
      </c>
      <c r="L302">
        <f t="shared" si="42"/>
        <v>-83.78081679839838</v>
      </c>
      <c r="M302">
        <f t="shared" si="43"/>
        <v>88296.11890622933</v>
      </c>
      <c r="N302">
        <f t="shared" si="44"/>
        <v>-705938.0583707013</v>
      </c>
      <c r="O302">
        <f t="shared" si="45"/>
        <v>88296.11890622933</v>
      </c>
      <c r="P302">
        <f t="shared" si="46"/>
        <v>-602595.1161332022</v>
      </c>
    </row>
    <row r="303" spans="2:16" ht="15">
      <c r="B303">
        <f t="shared" si="47"/>
        <v>14.700000000000074</v>
      </c>
      <c r="C303">
        <f>IF(Eingabe_Ausgabe!$B$13=1,Berechnung!C302,C302+G302*B303)</f>
        <v>41.00026417135857</v>
      </c>
      <c r="D303">
        <f>IF(Eingabe_Ausgabe!$B$13=1,Berechnung!D302+dt*g,D302+H302*B303)</f>
        <v>-376.7310527945483</v>
      </c>
      <c r="E303">
        <f>0.5*roh_luft*Eingabe_Ausgabe!$B$7*(C303*C303+D303*D303)</f>
        <v>10166584.000576755</v>
      </c>
      <c r="F303">
        <f t="shared" si="40"/>
        <v>-1.4623913226089673</v>
      </c>
      <c r="G303">
        <f>IF(Eingabe_Ausgabe!$B$13=1,0,-COS(F303)*E303/m)</f>
        <v>0</v>
      </c>
      <c r="H303">
        <f>IF(Eingabe_Ausgabe!$B$13=1,g,g-SIN(F303)*E303/m)</f>
        <v>-9.81</v>
      </c>
      <c r="I303" s="4">
        <f t="shared" si="49"/>
        <v>0</v>
      </c>
      <c r="J303" s="4">
        <f t="shared" si="48"/>
        <v>0</v>
      </c>
      <c r="K303">
        <f t="shared" si="41"/>
        <v>0</v>
      </c>
      <c r="L303">
        <f t="shared" si="42"/>
        <v>-83.78885078204823</v>
      </c>
      <c r="M303">
        <f t="shared" si="43"/>
        <v>88898.8227895483</v>
      </c>
      <c r="N303">
        <f t="shared" si="44"/>
        <v>-711476.0048467811</v>
      </c>
      <c r="O303">
        <f t="shared" si="45"/>
        <v>88898.8227895483</v>
      </c>
      <c r="P303">
        <f t="shared" si="46"/>
        <v>-607073.1411592822</v>
      </c>
    </row>
    <row r="304" spans="2:16" ht="15">
      <c r="B304">
        <f t="shared" si="47"/>
        <v>14.750000000000075</v>
      </c>
      <c r="C304">
        <f>IF(Eingabe_Ausgabe!$B$13=1,Berechnung!C303,C303+G303*B304)</f>
        <v>41.00026417135857</v>
      </c>
      <c r="D304">
        <f>IF(Eingabe_Ausgabe!$B$13=1,Berechnung!D303+dt*g,D303+H303*B304)</f>
        <v>-377.2215527945483</v>
      </c>
      <c r="E304">
        <f>0.5*roh_luft*Eingabe_Ausgabe!$B$7*(C304*C304+D304*D304)</f>
        <v>10192764.719666991</v>
      </c>
      <c r="F304">
        <f t="shared" si="40"/>
        <v>-1.4625311816848867</v>
      </c>
      <c r="G304">
        <f>IF(Eingabe_Ausgabe!$B$13=1,0,-COS(F304)*E304/m)</f>
        <v>0</v>
      </c>
      <c r="H304">
        <f>IF(Eingabe_Ausgabe!$B$13=1,g,g-SIN(F304)*E304/m)</f>
        <v>-9.81</v>
      </c>
      <c r="I304" s="4">
        <f t="shared" si="49"/>
        <v>0</v>
      </c>
      <c r="J304" s="4">
        <f t="shared" si="48"/>
        <v>0</v>
      </c>
      <c r="K304">
        <f t="shared" si="41"/>
        <v>0</v>
      </c>
      <c r="L304">
        <f t="shared" si="42"/>
        <v>-83.796864116825</v>
      </c>
      <c r="M304">
        <f t="shared" si="43"/>
        <v>89503.57668607584</v>
      </c>
      <c r="N304">
        <f t="shared" si="44"/>
        <v>-717040.0227505007</v>
      </c>
      <c r="O304">
        <f t="shared" si="45"/>
        <v>89503.57668607584</v>
      </c>
      <c r="P304">
        <f t="shared" si="46"/>
        <v>-611570.0150005018</v>
      </c>
    </row>
    <row r="305" spans="2:16" ht="15">
      <c r="B305">
        <f t="shared" si="47"/>
        <v>14.800000000000075</v>
      </c>
      <c r="C305">
        <f>IF(Eingabe_Ausgabe!$B$13=1,Berechnung!C304,C304+G304*B305)</f>
        <v>41.00026417135857</v>
      </c>
      <c r="D305">
        <f>IF(Eingabe_Ausgabe!$B$13=1,Berechnung!D304+dt*g,D304+H304*B305)</f>
        <v>-377.7120527945483</v>
      </c>
      <c r="E305">
        <f>0.5*roh_luft*Eingabe_Ausgabe!$B$7*(C305*C305+D305*D305)</f>
        <v>10218979.503611222</v>
      </c>
      <c r="F305">
        <f t="shared" si="40"/>
        <v>-1.4626706817521598</v>
      </c>
      <c r="G305">
        <f>IF(Eingabe_Ausgabe!$B$13=1,0,-COS(F305)*E305/m)</f>
        <v>0</v>
      </c>
      <c r="H305">
        <f>IF(Eingabe_Ausgabe!$B$13=1,g,g-SIN(F305)*E305/m)</f>
        <v>-9.81</v>
      </c>
      <c r="I305" s="4">
        <f t="shared" si="49"/>
        <v>0</v>
      </c>
      <c r="J305" s="4">
        <f t="shared" si="48"/>
        <v>0</v>
      </c>
      <c r="K305">
        <f t="shared" si="41"/>
        <v>0</v>
      </c>
      <c r="L305">
        <f t="shared" si="42"/>
        <v>-83.80485688192155</v>
      </c>
      <c r="M305">
        <f t="shared" si="43"/>
        <v>90110.38059581195</v>
      </c>
      <c r="N305">
        <f t="shared" si="44"/>
        <v>-722630.1611318601</v>
      </c>
      <c r="O305">
        <f t="shared" si="45"/>
        <v>90110.38059581195</v>
      </c>
      <c r="P305">
        <f t="shared" si="46"/>
        <v>-616085.7621818611</v>
      </c>
    </row>
    <row r="306" spans="2:16" ht="15">
      <c r="B306">
        <f t="shared" si="47"/>
        <v>14.850000000000076</v>
      </c>
      <c r="C306">
        <f>IF(Eingabe_Ausgabe!$B$13=1,Berechnung!C305,C305+G305*B306)</f>
        <v>41.00026417135857</v>
      </c>
      <c r="D306">
        <f>IF(Eingabe_Ausgabe!$B$13=1,Berechnung!D305+dt*g,D305+H305*B306)</f>
        <v>-378.2025527945483</v>
      </c>
      <c r="E306">
        <f>0.5*roh_luft*Eingabe_Ausgabe!$B$7*(C306*C306+D306*D306)</f>
        <v>10245228.352409447</v>
      </c>
      <c r="F306">
        <f t="shared" si="40"/>
        <v>-1.4628098241859324</v>
      </c>
      <c r="G306">
        <f>IF(Eingabe_Ausgabe!$B$13=1,0,-COS(F306)*E306/m)</f>
        <v>0</v>
      </c>
      <c r="H306">
        <f>IF(Eingabe_Ausgabe!$B$13=1,g,g-SIN(F306)*E306/m)</f>
        <v>-9.81</v>
      </c>
      <c r="I306" s="4">
        <f t="shared" si="49"/>
        <v>0</v>
      </c>
      <c r="J306" s="4">
        <f t="shared" si="48"/>
        <v>0</v>
      </c>
      <c r="K306">
        <f t="shared" si="41"/>
        <v>0</v>
      </c>
      <c r="L306">
        <f t="shared" si="42"/>
        <v>-83.8128291561279</v>
      </c>
      <c r="M306">
        <f t="shared" si="43"/>
        <v>90719.23451875662</v>
      </c>
      <c r="N306">
        <f t="shared" si="44"/>
        <v>-728246.4690408591</v>
      </c>
      <c r="O306">
        <f t="shared" si="45"/>
        <v>90719.23451875662</v>
      </c>
      <c r="P306">
        <f t="shared" si="46"/>
        <v>-620620.4072283602</v>
      </c>
    </row>
    <row r="307" spans="2:16" ht="15">
      <c r="B307">
        <f t="shared" si="47"/>
        <v>14.900000000000077</v>
      </c>
      <c r="C307">
        <f>IF(Eingabe_Ausgabe!$B$13=1,Berechnung!C306,C306+G306*B307)</f>
        <v>41.00026417135857</v>
      </c>
      <c r="D307">
        <f>IF(Eingabe_Ausgabe!$B$13=1,Berechnung!D306+dt*g,D306+H306*B307)</f>
        <v>-378.6930527945483</v>
      </c>
      <c r="E307">
        <f>0.5*roh_luft*Eingabe_Ausgabe!$B$7*(C307*C307+D307*D307)</f>
        <v>10271511.266061665</v>
      </c>
      <c r="F307">
        <f t="shared" si="40"/>
        <v>-1.4629486103543632</v>
      </c>
      <c r="G307">
        <f>IF(Eingabe_Ausgabe!$B$13=1,0,-COS(F307)*E307/m)</f>
        <v>0</v>
      </c>
      <c r="H307">
        <f>IF(Eingabe_Ausgabe!$B$13=1,g,g-SIN(F307)*E307/m)</f>
        <v>-9.81</v>
      </c>
      <c r="I307" s="4">
        <f t="shared" si="49"/>
        <v>0</v>
      </c>
      <c r="J307" s="4">
        <f t="shared" si="48"/>
        <v>0</v>
      </c>
      <c r="K307">
        <f t="shared" si="41"/>
        <v>0</v>
      </c>
      <c r="L307">
        <f t="shared" si="42"/>
        <v>-83.82078101783378</v>
      </c>
      <c r="M307">
        <f t="shared" si="43"/>
        <v>91330.13845490987</v>
      </c>
      <c r="N307">
        <f t="shared" si="44"/>
        <v>-733888.995527498</v>
      </c>
      <c r="O307">
        <f t="shared" si="45"/>
        <v>91330.13845490987</v>
      </c>
      <c r="P307">
        <f t="shared" si="46"/>
        <v>-625173.974664999</v>
      </c>
    </row>
    <row r="308" spans="2:16" ht="15">
      <c r="B308">
        <f t="shared" si="47"/>
        <v>14.950000000000077</v>
      </c>
      <c r="C308">
        <f>IF(Eingabe_Ausgabe!$B$13=1,Berechnung!C307,C307+G307*B308)</f>
        <v>41.00026417135857</v>
      </c>
      <c r="D308">
        <f>IF(Eingabe_Ausgabe!$B$13=1,Berechnung!D307+dt*g,D307+H307*B308)</f>
        <v>-379.1835527945483</v>
      </c>
      <c r="E308">
        <f>0.5*roh_luft*Eingabe_Ausgabe!$B$7*(C308*C308+D308*D308)</f>
        <v>10297828.244567879</v>
      </c>
      <c r="F308">
        <f t="shared" si="40"/>
        <v>-1.4630870416186688</v>
      </c>
      <c r="G308">
        <f>IF(Eingabe_Ausgabe!$B$13=1,0,-COS(F308)*E308/m)</f>
        <v>0</v>
      </c>
      <c r="H308">
        <f>IF(Eingabe_Ausgabe!$B$13=1,g,g-SIN(F308)*E308/m)</f>
        <v>-9.81</v>
      </c>
      <c r="I308" s="4">
        <f t="shared" si="49"/>
        <v>0</v>
      </c>
      <c r="J308" s="4">
        <f t="shared" si="48"/>
        <v>0</v>
      </c>
      <c r="K308">
        <f t="shared" si="41"/>
        <v>0</v>
      </c>
      <c r="L308">
        <f t="shared" si="42"/>
        <v>-83.82871254503115</v>
      </c>
      <c r="M308">
        <f t="shared" si="43"/>
        <v>91943.09240427168</v>
      </c>
      <c r="N308">
        <f t="shared" si="44"/>
        <v>-739557.7896417765</v>
      </c>
      <c r="O308">
        <f t="shared" si="45"/>
        <v>91943.09240427168</v>
      </c>
      <c r="P308">
        <f t="shared" si="46"/>
        <v>-629746.4890167776</v>
      </c>
    </row>
    <row r="309" spans="2:16" ht="15">
      <c r="B309">
        <f t="shared" si="47"/>
        <v>15.000000000000078</v>
      </c>
      <c r="C309">
        <f>IF(Eingabe_Ausgabe!$B$13=1,Berechnung!C308,C308+G308*B309)</f>
        <v>41.00026417135857</v>
      </c>
      <c r="D309">
        <f>IF(Eingabe_Ausgabe!$B$13=1,Berechnung!D308+dt*g,D308+H308*B309)</f>
        <v>-379.6740527945483</v>
      </c>
      <c r="E309">
        <f>0.5*roh_luft*Eingabe_Ausgabe!$B$7*(C309*C309+D309*D309)</f>
        <v>10324179.287928084</v>
      </c>
      <c r="F309">
        <f t="shared" si="40"/>
        <v>-1.4632251193331673</v>
      </c>
      <c r="G309">
        <f>IF(Eingabe_Ausgabe!$B$13=1,0,-COS(F309)*E309/m)</f>
        <v>0</v>
      </c>
      <c r="H309">
        <f>IF(Eingabe_Ausgabe!$B$13=1,g,g-SIN(F309)*E309/m)</f>
        <v>-9.81</v>
      </c>
      <c r="I309" s="4">
        <f t="shared" si="49"/>
        <v>0</v>
      </c>
      <c r="J309" s="4">
        <f t="shared" si="48"/>
        <v>0</v>
      </c>
      <c r="K309">
        <f t="shared" si="41"/>
        <v>0</v>
      </c>
      <c r="L309">
        <f t="shared" si="42"/>
        <v>-83.83662381531673</v>
      </c>
      <c r="M309">
        <f t="shared" si="43"/>
        <v>92558.09636684206</v>
      </c>
      <c r="N309">
        <f t="shared" si="44"/>
        <v>-745252.9004336947</v>
      </c>
      <c r="O309">
        <f t="shared" si="45"/>
        <v>92558.09636684206</v>
      </c>
      <c r="P309">
        <f t="shared" si="46"/>
        <v>-634337.9748086958</v>
      </c>
    </row>
    <row r="310" spans="2:16" ht="15">
      <c r="B310">
        <f t="shared" si="47"/>
        <v>15.050000000000079</v>
      </c>
      <c r="C310">
        <f>IF(Eingabe_Ausgabe!$B$13=1,Berechnung!C309,C309+G309*B310)</f>
        <v>41.00026417135857</v>
      </c>
      <c r="D310">
        <f>IF(Eingabe_Ausgabe!$B$13=1,Berechnung!D309+dt*g,D309+H309*B310)</f>
        <v>-380.1645527945483</v>
      </c>
      <c r="E310">
        <f>0.5*roh_luft*Eingabe_Ausgabe!$B$7*(C310*C310+D310*D310)</f>
        <v>10350564.396142283</v>
      </c>
      <c r="F310">
        <f t="shared" si="40"/>
        <v>-1.463362844845322</v>
      </c>
      <c r="G310">
        <f>IF(Eingabe_Ausgabe!$B$13=1,0,-COS(F310)*E310/m)</f>
        <v>0</v>
      </c>
      <c r="H310">
        <f>IF(Eingabe_Ausgabe!$B$13=1,g,g-SIN(F310)*E310/m)</f>
        <v>-9.81</v>
      </c>
      <c r="I310" s="4">
        <f t="shared" si="49"/>
        <v>0</v>
      </c>
      <c r="J310" s="4">
        <f t="shared" si="48"/>
        <v>0</v>
      </c>
      <c r="K310">
        <f t="shared" si="41"/>
        <v>0</v>
      </c>
      <c r="L310">
        <f t="shared" si="42"/>
        <v>-83.84451490589447</v>
      </c>
      <c r="M310">
        <f t="shared" si="43"/>
        <v>93175.15034262101</v>
      </c>
      <c r="N310">
        <f t="shared" si="44"/>
        <v>-750974.3769532527</v>
      </c>
      <c r="O310">
        <f t="shared" si="45"/>
        <v>93175.15034262101</v>
      </c>
      <c r="P310">
        <f t="shared" si="46"/>
        <v>-638948.4565657539</v>
      </c>
    </row>
    <row r="311" spans="2:16" ht="15">
      <c r="B311">
        <f t="shared" si="47"/>
        <v>15.10000000000008</v>
      </c>
      <c r="C311">
        <f>IF(Eingabe_Ausgabe!$B$13=1,Berechnung!C310,C310+G310*B311)</f>
        <v>41.00026417135857</v>
      </c>
      <c r="D311">
        <f>IF(Eingabe_Ausgabe!$B$13=1,Berechnung!D310+dt*g,D310+H310*B311)</f>
        <v>-380.6550527945483</v>
      </c>
      <c r="E311">
        <f>0.5*roh_luft*Eingabe_Ausgabe!$B$7*(C311*C311+D311*D311)</f>
        <v>10376983.569210477</v>
      </c>
      <c r="F311">
        <f t="shared" si="40"/>
        <v>-1.4635002194957838</v>
      </c>
      <c r="G311">
        <f>IF(Eingabe_Ausgabe!$B$13=1,0,-COS(F311)*E311/m)</f>
        <v>0</v>
      </c>
      <c r="H311">
        <f>IF(Eingabe_Ausgabe!$B$13=1,g,g-SIN(F311)*E311/m)</f>
        <v>-9.81</v>
      </c>
      <c r="I311" s="4">
        <f t="shared" si="49"/>
        <v>0</v>
      </c>
      <c r="J311" s="4">
        <f t="shared" si="48"/>
        <v>0</v>
      </c>
      <c r="K311">
        <f t="shared" si="41"/>
        <v>0</v>
      </c>
      <c r="L311">
        <f t="shared" si="42"/>
        <v>-83.85238589357802</v>
      </c>
      <c r="M311">
        <f t="shared" si="43"/>
        <v>93794.25433160854</v>
      </c>
      <c r="N311">
        <f t="shared" si="44"/>
        <v>-756722.2682504504</v>
      </c>
      <c r="O311">
        <f t="shared" si="45"/>
        <v>93794.25433160854</v>
      </c>
      <c r="P311">
        <f t="shared" si="46"/>
        <v>-643577.9588129516</v>
      </c>
    </row>
    <row r="312" spans="2:16" ht="15">
      <c r="B312">
        <f t="shared" si="47"/>
        <v>15.15000000000008</v>
      </c>
      <c r="C312">
        <f>IF(Eingabe_Ausgabe!$B$13=1,Berechnung!C311,C311+G311*B312)</f>
        <v>41.00026417135857</v>
      </c>
      <c r="D312">
        <f>IF(Eingabe_Ausgabe!$B$13=1,Berechnung!D311+dt*g,D311+H311*B312)</f>
        <v>-381.1455527945483</v>
      </c>
      <c r="E312">
        <f>0.5*roh_luft*Eingabe_Ausgabe!$B$7*(C312*C312+D312*D312)</f>
        <v>10403436.807132661</v>
      </c>
      <c r="F312">
        <f t="shared" si="40"/>
        <v>-1.4636372446184347</v>
      </c>
      <c r="G312">
        <f>IF(Eingabe_Ausgabe!$B$13=1,0,-COS(F312)*E312/m)</f>
        <v>0</v>
      </c>
      <c r="H312">
        <f>IF(Eingabe_Ausgabe!$B$13=1,g,g-SIN(F312)*E312/m)</f>
        <v>-9.81</v>
      </c>
      <c r="I312" s="4">
        <f t="shared" si="49"/>
        <v>0</v>
      </c>
      <c r="J312" s="4">
        <f t="shared" si="48"/>
        <v>0</v>
      </c>
      <c r="K312">
        <f t="shared" si="41"/>
        <v>0</v>
      </c>
      <c r="L312">
        <f t="shared" si="42"/>
        <v>-83.86023685479317</v>
      </c>
      <c r="M312">
        <f t="shared" si="43"/>
        <v>94415.40833380462</v>
      </c>
      <c r="N312">
        <f t="shared" si="44"/>
        <v>-762496.6233752879</v>
      </c>
      <c r="O312">
        <f t="shared" si="45"/>
        <v>94415.40833380462</v>
      </c>
      <c r="P312">
        <f t="shared" si="46"/>
        <v>-648226.506075289</v>
      </c>
    </row>
    <row r="313" spans="2:16" ht="15">
      <c r="B313">
        <f t="shared" si="47"/>
        <v>15.200000000000081</v>
      </c>
      <c r="C313">
        <f>IF(Eingabe_Ausgabe!$B$13=1,Berechnung!C312,C312+G312*B313)</f>
        <v>41.00026417135857</v>
      </c>
      <c r="D313">
        <f>IF(Eingabe_Ausgabe!$B$13=1,Berechnung!D312+dt*g,D312+H312*B313)</f>
        <v>-381.6360527945483</v>
      </c>
      <c r="E313">
        <f>0.5*roh_luft*Eingabe_Ausgabe!$B$7*(C313*C313+D313*D313)</f>
        <v>10429924.109908843</v>
      </c>
      <c r="F313">
        <f t="shared" si="40"/>
        <v>-1.4637739215404304</v>
      </c>
      <c r="G313">
        <f>IF(Eingabe_Ausgabe!$B$13=1,0,-COS(F313)*E313/m)</f>
        <v>0</v>
      </c>
      <c r="H313">
        <f>IF(Eingabe_Ausgabe!$B$13=1,g,g-SIN(F313)*E313/m)</f>
        <v>-9.81</v>
      </c>
      <c r="I313" s="4">
        <f t="shared" si="49"/>
        <v>0</v>
      </c>
      <c r="J313" s="4">
        <f t="shared" si="48"/>
        <v>0</v>
      </c>
      <c r="K313">
        <f t="shared" si="41"/>
        <v>0</v>
      </c>
      <c r="L313">
        <f t="shared" si="42"/>
        <v>-83.86806786558036</v>
      </c>
      <c r="M313">
        <f t="shared" si="43"/>
        <v>95038.61234920927</v>
      </c>
      <c r="N313">
        <f t="shared" si="44"/>
        <v>-768297.4913777651</v>
      </c>
      <c r="O313">
        <f t="shared" si="45"/>
        <v>95038.61234920927</v>
      </c>
      <c r="P313">
        <f t="shared" si="46"/>
        <v>-652894.1228777663</v>
      </c>
    </row>
    <row r="314" spans="2:16" ht="15">
      <c r="B314">
        <f t="shared" si="47"/>
        <v>15.250000000000082</v>
      </c>
      <c r="C314">
        <f>IF(Eingabe_Ausgabe!$B$13=1,Berechnung!C313,C313+G313*B314)</f>
        <v>41.00026417135857</v>
      </c>
      <c r="D314">
        <f>IF(Eingabe_Ausgabe!$B$13=1,Berechnung!D313+dt*g,D313+H313*B314)</f>
        <v>-382.1265527945483</v>
      </c>
      <c r="E314">
        <f>0.5*roh_luft*Eingabe_Ausgabe!$B$7*(C314*C314+D314*D314)</f>
        <v>10456445.477539016</v>
      </c>
      <c r="F314">
        <f t="shared" si="40"/>
        <v>-1.463910251582242</v>
      </c>
      <c r="G314">
        <f>IF(Eingabe_Ausgabe!$B$13=1,0,-COS(F314)*E314/m)</f>
        <v>0</v>
      </c>
      <c r="H314">
        <f>IF(Eingabe_Ausgabe!$B$13=1,g,g-SIN(F314)*E314/m)</f>
        <v>-9.81</v>
      </c>
      <c r="I314" s="4">
        <f t="shared" si="49"/>
        <v>0</v>
      </c>
      <c r="J314" s="4">
        <f t="shared" si="48"/>
        <v>0</v>
      </c>
      <c r="K314">
        <f t="shared" si="41"/>
        <v>0</v>
      </c>
      <c r="L314">
        <f t="shared" si="42"/>
        <v>-83.87587900159701</v>
      </c>
      <c r="M314">
        <f t="shared" si="43"/>
        <v>95663.8663778225</v>
      </c>
      <c r="N314">
        <f t="shared" si="44"/>
        <v>-774124.921307882</v>
      </c>
      <c r="O314">
        <f t="shared" si="45"/>
        <v>95663.8663778225</v>
      </c>
      <c r="P314">
        <f t="shared" si="46"/>
        <v>-657580.8337453832</v>
      </c>
    </row>
    <row r="315" spans="2:16" ht="15">
      <c r="B315">
        <f t="shared" si="47"/>
        <v>15.300000000000082</v>
      </c>
      <c r="C315">
        <f>IF(Eingabe_Ausgabe!$B$13=1,Berechnung!C314,C314+G314*B315)</f>
        <v>41.00026417135857</v>
      </c>
      <c r="D315">
        <f>IF(Eingabe_Ausgabe!$B$13=1,Berechnung!D314+dt*g,D314+H314*B315)</f>
        <v>-382.6170527945483</v>
      </c>
      <c r="E315">
        <f>0.5*roh_luft*Eingabe_Ausgabe!$B$7*(C315*C315+D315*D315)</f>
        <v>10483000.910023184</v>
      </c>
      <c r="F315">
        <f t="shared" si="40"/>
        <v>-1.4640462360576978</v>
      </c>
      <c r="G315">
        <f>IF(Eingabe_Ausgabe!$B$13=1,0,-COS(F315)*E315/m)</f>
        <v>0</v>
      </c>
      <c r="H315">
        <f>IF(Eingabe_Ausgabe!$B$13=1,g,g-SIN(F315)*E315/m)</f>
        <v>-9.81</v>
      </c>
      <c r="I315" s="4">
        <f t="shared" si="49"/>
        <v>0</v>
      </c>
      <c r="J315" s="4">
        <f t="shared" si="48"/>
        <v>0</v>
      </c>
      <c r="K315">
        <f t="shared" si="41"/>
        <v>0</v>
      </c>
      <c r="L315">
        <f t="shared" si="42"/>
        <v>-83.88367033811993</v>
      </c>
      <c r="M315">
        <f t="shared" si="43"/>
        <v>96291.17041964429</v>
      </c>
      <c r="N315">
        <f t="shared" si="44"/>
        <v>-779978.9622156386</v>
      </c>
      <c r="O315">
        <f t="shared" si="45"/>
        <v>96291.17041964429</v>
      </c>
      <c r="P315">
        <f t="shared" si="46"/>
        <v>-662286.6632031399</v>
      </c>
    </row>
    <row r="316" spans="2:16" ht="15">
      <c r="B316">
        <f t="shared" si="47"/>
        <v>15.350000000000083</v>
      </c>
      <c r="C316">
        <f>IF(Eingabe_Ausgabe!$B$13=1,Berechnung!C315,C315+G315*B316)</f>
        <v>41.00026417135857</v>
      </c>
      <c r="D316">
        <f>IF(Eingabe_Ausgabe!$B$13=1,Berechnung!D315+dt*g,D315+H315*B316)</f>
        <v>-383.10755279454827</v>
      </c>
      <c r="E316">
        <f>0.5*roh_luft*Eingabe_Ausgabe!$B$7*(C316*C316+D316*D316)</f>
        <v>10509590.407361345</v>
      </c>
      <c r="F316">
        <f t="shared" si="40"/>
        <v>-1.464181876274026</v>
      </c>
      <c r="G316">
        <f>IF(Eingabe_Ausgabe!$B$13=1,0,-COS(F316)*E316/m)</f>
        <v>0</v>
      </c>
      <c r="H316">
        <f>IF(Eingabe_Ausgabe!$B$13=1,g,g-SIN(F316)*E316/m)</f>
        <v>-9.81</v>
      </c>
      <c r="I316" s="4">
        <f t="shared" si="49"/>
        <v>0</v>
      </c>
      <c r="J316" s="4">
        <f t="shared" si="48"/>
        <v>0</v>
      </c>
      <c r="K316">
        <f t="shared" si="41"/>
        <v>0</v>
      </c>
      <c r="L316">
        <f t="shared" si="42"/>
        <v>-83.89144195004778</v>
      </c>
      <c r="M316">
        <f t="shared" si="43"/>
        <v>96920.52447467465</v>
      </c>
      <c r="N316">
        <f t="shared" si="44"/>
        <v>-785859.663151035</v>
      </c>
      <c r="O316">
        <f t="shared" si="45"/>
        <v>96920.52447467465</v>
      </c>
      <c r="P316">
        <f t="shared" si="46"/>
        <v>-667011.6357760362</v>
      </c>
    </row>
    <row r="317" spans="2:16" ht="15">
      <c r="B317">
        <f t="shared" si="47"/>
        <v>15.400000000000084</v>
      </c>
      <c r="C317">
        <f>IF(Eingabe_Ausgabe!$B$13=1,Berechnung!C316,C316+G316*B317)</f>
        <v>41.00026417135857</v>
      </c>
      <c r="D317">
        <f>IF(Eingabe_Ausgabe!$B$13=1,Berechnung!D316+dt*g,D316+H316*B317)</f>
        <v>-383.59805279454827</v>
      </c>
      <c r="E317">
        <f>0.5*roh_luft*Eingabe_Ausgabe!$B$7*(C317*C317+D317*D317)</f>
        <v>10536213.9695535</v>
      </c>
      <c r="F317">
        <f t="shared" si="40"/>
        <v>-1.4643171735318938</v>
      </c>
      <c r="G317">
        <f>IF(Eingabe_Ausgabe!$B$13=1,0,-COS(F317)*E317/m)</f>
        <v>0</v>
      </c>
      <c r="H317">
        <f>IF(Eingabe_Ausgabe!$B$13=1,g,g-SIN(F317)*E317/m)</f>
        <v>-9.81</v>
      </c>
      <c r="I317" s="4">
        <f t="shared" si="49"/>
        <v>0</v>
      </c>
      <c r="J317" s="4">
        <f t="shared" si="48"/>
        <v>0</v>
      </c>
      <c r="K317">
        <f t="shared" si="41"/>
        <v>0</v>
      </c>
      <c r="L317">
        <f t="shared" si="42"/>
        <v>-83.8991939119033</v>
      </c>
      <c r="M317">
        <f t="shared" si="43"/>
        <v>97551.92854291358</v>
      </c>
      <c r="N317">
        <f t="shared" si="44"/>
        <v>-791767.0731640711</v>
      </c>
      <c r="O317">
        <f t="shared" si="45"/>
        <v>97551.92854291358</v>
      </c>
      <c r="P317">
        <f t="shared" si="46"/>
        <v>-671755.7759890723</v>
      </c>
    </row>
    <row r="318" spans="2:16" ht="15">
      <c r="B318">
        <f t="shared" si="47"/>
        <v>15.450000000000085</v>
      </c>
      <c r="C318">
        <f>IF(Eingabe_Ausgabe!$B$13=1,Berechnung!C317,C317+G317*B318)</f>
        <v>41.00026417135857</v>
      </c>
      <c r="D318">
        <f>IF(Eingabe_Ausgabe!$B$13=1,Berechnung!D317+dt*g,D317+H317*B318)</f>
        <v>-384.08855279454826</v>
      </c>
      <c r="E318">
        <f>0.5*roh_luft*Eingabe_Ausgabe!$B$7*(C318*C318+D318*D318)</f>
        <v>10562871.59659965</v>
      </c>
      <c r="F318">
        <f t="shared" si="40"/>
        <v>-1.464452129125451</v>
      </c>
      <c r="G318">
        <f>IF(Eingabe_Ausgabe!$B$13=1,0,-COS(F318)*E318/m)</f>
        <v>0</v>
      </c>
      <c r="H318">
        <f>IF(Eingabe_Ausgabe!$B$13=1,g,g-SIN(F318)*E318/m)</f>
        <v>-9.81</v>
      </c>
      <c r="I318" s="4">
        <f t="shared" si="49"/>
        <v>0</v>
      </c>
      <c r="J318" s="4">
        <f t="shared" si="48"/>
        <v>0</v>
      </c>
      <c r="K318">
        <f t="shared" si="41"/>
        <v>0</v>
      </c>
      <c r="L318">
        <f t="shared" si="42"/>
        <v>-83.90692629783581</v>
      </c>
      <c r="M318">
        <f t="shared" si="43"/>
        <v>98185.38262436107</v>
      </c>
      <c r="N318">
        <f t="shared" si="44"/>
        <v>-797701.2413047468</v>
      </c>
      <c r="O318">
        <f t="shared" si="45"/>
        <v>98185.38262436107</v>
      </c>
      <c r="P318">
        <f t="shared" si="46"/>
        <v>-676519.1083672482</v>
      </c>
    </row>
    <row r="319" spans="2:16" ht="15">
      <c r="B319">
        <f t="shared" si="47"/>
        <v>15.500000000000085</v>
      </c>
      <c r="C319">
        <f>IF(Eingabe_Ausgabe!$B$13=1,Berechnung!C318,C318+G318*B319)</f>
        <v>41.00026417135857</v>
      </c>
      <c r="D319">
        <f>IF(Eingabe_Ausgabe!$B$13=1,Berechnung!D318+dt*g,D318+H318*B319)</f>
        <v>-384.57905279454826</v>
      </c>
      <c r="E319">
        <f>0.5*roh_luft*Eingabe_Ausgabe!$B$7*(C319*C319+D319*D319)</f>
        <v>10589563.288499791</v>
      </c>
      <c r="F319">
        <f t="shared" si="40"/>
        <v>-1.4645867443423681</v>
      </c>
      <c r="G319">
        <f>IF(Eingabe_Ausgabe!$B$13=1,0,-COS(F319)*E319/m)</f>
        <v>0</v>
      </c>
      <c r="H319">
        <f>IF(Eingabe_Ausgabe!$B$13=1,g,g-SIN(F319)*E319/m)</f>
        <v>-9.81</v>
      </c>
      <c r="I319" s="4">
        <f t="shared" si="49"/>
        <v>0</v>
      </c>
      <c r="J319" s="4">
        <f t="shared" si="48"/>
        <v>0</v>
      </c>
      <c r="K319">
        <f t="shared" si="41"/>
        <v>0</v>
      </c>
      <c r="L319">
        <f t="shared" si="42"/>
        <v>-83.9146391816234</v>
      </c>
      <c r="M319">
        <f t="shared" si="43"/>
        <v>98820.88671901713</v>
      </c>
      <c r="N319">
        <f t="shared" si="44"/>
        <v>-803662.2166230624</v>
      </c>
      <c r="O319">
        <f t="shared" si="45"/>
        <v>98820.88671901713</v>
      </c>
      <c r="P319">
        <f t="shared" si="46"/>
        <v>-681301.6574355637</v>
      </c>
    </row>
    <row r="320" spans="2:16" ht="15">
      <c r="B320">
        <f t="shared" si="47"/>
        <v>15.550000000000086</v>
      </c>
      <c r="C320">
        <f>IF(Eingabe_Ausgabe!$B$13=1,Berechnung!C319,C319+G319*B320)</f>
        <v>41.00026417135857</v>
      </c>
      <c r="D320">
        <f>IF(Eingabe_Ausgabe!$B$13=1,Berechnung!D319+dt*g,D319+H319*B320)</f>
        <v>-385.06955279454826</v>
      </c>
      <c r="E320">
        <f>0.5*roh_luft*Eingabe_Ausgabe!$B$7*(C320*C320+D320*D320)</f>
        <v>10616289.045253927</v>
      </c>
      <c r="F320">
        <f t="shared" si="40"/>
        <v>-1.464721020463878</v>
      </c>
      <c r="G320">
        <f>IF(Eingabe_Ausgabe!$B$13=1,0,-COS(F320)*E320/m)</f>
        <v>0</v>
      </c>
      <c r="H320">
        <f>IF(Eingabe_Ausgabe!$B$13=1,g,g-SIN(F320)*E320/m)</f>
        <v>-9.81</v>
      </c>
      <c r="I320" s="4">
        <f t="shared" si="49"/>
        <v>0</v>
      </c>
      <c r="J320" s="4">
        <f t="shared" si="48"/>
        <v>0</v>
      </c>
      <c r="K320">
        <f t="shared" si="41"/>
        <v>0</v>
      </c>
      <c r="L320">
        <f t="shared" si="42"/>
        <v>-83.92233263667529</v>
      </c>
      <c r="M320">
        <f t="shared" si="43"/>
        <v>99458.44082688176</v>
      </c>
      <c r="N320">
        <f t="shared" si="44"/>
        <v>-809650.0481690177</v>
      </c>
      <c r="O320">
        <f t="shared" si="45"/>
        <v>99458.44082688176</v>
      </c>
      <c r="P320">
        <f t="shared" si="46"/>
        <v>-686103.447719019</v>
      </c>
    </row>
    <row r="321" spans="2:16" ht="15">
      <c r="B321">
        <f t="shared" si="47"/>
        <v>15.600000000000087</v>
      </c>
      <c r="C321">
        <f>IF(Eingabe_Ausgabe!$B$13=1,Berechnung!C320,C320+G320*B321)</f>
        <v>41.00026417135857</v>
      </c>
      <c r="D321">
        <f>IF(Eingabe_Ausgabe!$B$13=1,Berechnung!D320+dt*g,D320+H320*B321)</f>
        <v>-385.56005279454826</v>
      </c>
      <c r="E321">
        <f>0.5*roh_luft*Eingabe_Ausgabe!$B$7*(C321*C321+D321*D321)</f>
        <v>10643048.866862057</v>
      </c>
      <c r="F321">
        <f t="shared" si="40"/>
        <v>-1.4648549587648165</v>
      </c>
      <c r="G321">
        <f>IF(Eingabe_Ausgabe!$B$13=1,0,-COS(F321)*E321/m)</f>
        <v>0</v>
      </c>
      <c r="H321">
        <f>IF(Eingabe_Ausgabe!$B$13=1,g,g-SIN(F321)*E321/m)</f>
        <v>-9.81</v>
      </c>
      <c r="I321" s="4">
        <f t="shared" si="49"/>
        <v>0</v>
      </c>
      <c r="J321" s="4">
        <f t="shared" si="48"/>
        <v>0</v>
      </c>
      <c r="K321">
        <f t="shared" si="41"/>
        <v>0</v>
      </c>
      <c r="L321">
        <f t="shared" si="42"/>
        <v>-83.93000673603423</v>
      </c>
      <c r="M321">
        <f t="shared" si="43"/>
        <v>100098.04494795496</v>
      </c>
      <c r="N321">
        <f t="shared" si="44"/>
        <v>-815664.7849926127</v>
      </c>
      <c r="O321">
        <f t="shared" si="45"/>
        <v>100098.04494795496</v>
      </c>
      <c r="P321">
        <f t="shared" si="46"/>
        <v>-690924.503742614</v>
      </c>
    </row>
    <row r="322" spans="2:16" ht="15">
      <c r="B322">
        <f t="shared" si="47"/>
        <v>15.650000000000087</v>
      </c>
      <c r="C322">
        <f>IF(Eingabe_Ausgabe!$B$13=1,Berechnung!C321,C321+G321*B322)</f>
        <v>41.00026417135857</v>
      </c>
      <c r="D322">
        <f>IF(Eingabe_Ausgabe!$B$13=1,Berechnung!D321+dt*g,D321+H321*B322)</f>
        <v>-386.05055279454825</v>
      </c>
      <c r="E322">
        <f>0.5*roh_luft*Eingabe_Ausgabe!$B$7*(C322*C322+D322*D322)</f>
        <v>10669842.753324179</v>
      </c>
      <c r="F322">
        <f t="shared" si="40"/>
        <v>-1.4649885605136603</v>
      </c>
      <c r="G322">
        <f>IF(Eingabe_Ausgabe!$B$13=1,0,-COS(F322)*E322/m)</f>
        <v>0</v>
      </c>
      <c r="H322">
        <f>IF(Eingabe_Ausgabe!$B$13=1,g,g-SIN(F322)*E322/m)</f>
        <v>-9.81</v>
      </c>
      <c r="I322" s="4">
        <f t="shared" si="49"/>
        <v>0</v>
      </c>
      <c r="J322" s="4">
        <f t="shared" si="48"/>
        <v>0</v>
      </c>
      <c r="K322">
        <f t="shared" si="41"/>
        <v>0</v>
      </c>
      <c r="L322">
        <f t="shared" si="42"/>
        <v>-83.93766155237854</v>
      </c>
      <c r="M322">
        <f t="shared" si="43"/>
        <v>100739.69908223672</v>
      </c>
      <c r="N322">
        <f t="shared" si="44"/>
        <v>-821706.4761438473</v>
      </c>
      <c r="O322">
        <f t="shared" si="45"/>
        <v>100739.69908223672</v>
      </c>
      <c r="P322">
        <f t="shared" si="46"/>
        <v>-695764.8500313486</v>
      </c>
    </row>
    <row r="323" spans="2:16" ht="15">
      <c r="B323">
        <f t="shared" si="47"/>
        <v>15.700000000000088</v>
      </c>
      <c r="C323">
        <f>IF(Eingabe_Ausgabe!$B$13=1,Berechnung!C322,C322+G322*B323)</f>
        <v>41.00026417135857</v>
      </c>
      <c r="D323">
        <f>IF(Eingabe_Ausgabe!$B$13=1,Berechnung!D322+dt*g,D322+H322*B323)</f>
        <v>-386.54105279454825</v>
      </c>
      <c r="E323">
        <f>0.5*roh_luft*Eingabe_Ausgabe!$B$7*(C323*C323+D323*D323)</f>
        <v>10696670.704640295</v>
      </c>
      <c r="F323">
        <f t="shared" si="40"/>
        <v>-1.4651218269725683</v>
      </c>
      <c r="G323">
        <f>IF(Eingabe_Ausgabe!$B$13=1,0,-COS(F323)*E323/m)</f>
        <v>0</v>
      </c>
      <c r="H323">
        <f>IF(Eingabe_Ausgabe!$B$13=1,g,g-SIN(F323)*E323/m)</f>
        <v>-9.81</v>
      </c>
      <c r="I323" s="4">
        <f t="shared" si="49"/>
        <v>0</v>
      </c>
      <c r="J323" s="4">
        <f t="shared" si="48"/>
        <v>0</v>
      </c>
      <c r="K323">
        <f t="shared" si="41"/>
        <v>0</v>
      </c>
      <c r="L323">
        <f t="shared" si="42"/>
        <v>-83.94529715802463</v>
      </c>
      <c r="M323">
        <f t="shared" si="43"/>
        <v>101383.40322972706</v>
      </c>
      <c r="N323">
        <f t="shared" si="44"/>
        <v>-827775.1706727218</v>
      </c>
      <c r="O323">
        <f t="shared" si="45"/>
        <v>101383.40322972706</v>
      </c>
      <c r="P323">
        <f t="shared" si="46"/>
        <v>-700624.5111102231</v>
      </c>
    </row>
    <row r="324" spans="2:16" ht="15">
      <c r="B324">
        <f t="shared" si="47"/>
        <v>15.750000000000089</v>
      </c>
      <c r="C324">
        <f>IF(Eingabe_Ausgabe!$B$13=1,Berechnung!C323,C323+G323*B324)</f>
        <v>41.00026417135857</v>
      </c>
      <c r="D324">
        <f>IF(Eingabe_Ausgabe!$B$13=1,Berechnung!D323+dt*g,D323+H323*B324)</f>
        <v>-387.03155279454825</v>
      </c>
      <c r="E324">
        <f>0.5*roh_luft*Eingabe_Ausgabe!$B$7*(C324*C324+D324*D324)</f>
        <v>10723532.720810406</v>
      </c>
      <c r="F324">
        <f t="shared" si="40"/>
        <v>-1.4652547593974192</v>
      </c>
      <c r="G324">
        <f>IF(Eingabe_Ausgabe!$B$13=1,0,-COS(F324)*E324/m)</f>
        <v>0</v>
      </c>
      <c r="H324">
        <f>IF(Eingabe_Ausgabe!$B$13=1,g,g-SIN(F324)*E324/m)</f>
        <v>-9.81</v>
      </c>
      <c r="I324" s="4">
        <f t="shared" si="49"/>
        <v>0</v>
      </c>
      <c r="J324" s="4">
        <f t="shared" si="48"/>
        <v>0</v>
      </c>
      <c r="K324">
        <f t="shared" si="41"/>
        <v>0</v>
      </c>
      <c r="L324">
        <f t="shared" si="42"/>
        <v>-83.95291362492902</v>
      </c>
      <c r="M324">
        <f t="shared" si="43"/>
        <v>102029.15739042596</v>
      </c>
      <c r="N324">
        <f t="shared" si="44"/>
        <v>-833870.917629236</v>
      </c>
      <c r="O324">
        <f t="shared" si="45"/>
        <v>102029.15739042596</v>
      </c>
      <c r="P324">
        <f t="shared" si="46"/>
        <v>-705503.5115042373</v>
      </c>
    </row>
    <row r="325" spans="2:16" ht="15">
      <c r="B325">
        <f t="shared" si="47"/>
        <v>15.80000000000009</v>
      </c>
      <c r="C325">
        <f>IF(Eingabe_Ausgabe!$B$13=1,Berechnung!C324,C324+G324*B325)</f>
        <v>41.00026417135857</v>
      </c>
      <c r="D325">
        <f>IF(Eingabe_Ausgabe!$B$13=1,Berechnung!D324+dt*g,D324+H324*B325)</f>
        <v>-387.52205279454824</v>
      </c>
      <c r="E325">
        <f>0.5*roh_luft*Eingabe_Ausgabe!$B$7*(C325*C325+D325*D325)</f>
        <v>10750428.80183451</v>
      </c>
      <c r="F325">
        <f t="shared" si="40"/>
        <v>-1.4653873590378517</v>
      </c>
      <c r="G325">
        <f>IF(Eingabe_Ausgabe!$B$13=1,0,-COS(F325)*E325/m)</f>
        <v>0</v>
      </c>
      <c r="H325">
        <f>IF(Eingabe_Ausgabe!$B$13=1,g,g-SIN(F325)*E325/m)</f>
        <v>-9.81</v>
      </c>
      <c r="I325" s="4">
        <f t="shared" si="49"/>
        <v>0</v>
      </c>
      <c r="J325" s="4">
        <f t="shared" si="48"/>
        <v>0</v>
      </c>
      <c r="K325">
        <f t="shared" si="41"/>
        <v>0</v>
      </c>
      <c r="L325">
        <f t="shared" si="42"/>
        <v>-83.96051102469075</v>
      </c>
      <c r="M325">
        <f t="shared" si="43"/>
        <v>102676.96156433343</v>
      </c>
      <c r="N325">
        <f t="shared" si="44"/>
        <v>-839993.76606339</v>
      </c>
      <c r="O325">
        <f t="shared" si="45"/>
        <v>102676.96156433343</v>
      </c>
      <c r="P325">
        <f t="shared" si="46"/>
        <v>-710401.8757383913</v>
      </c>
    </row>
    <row r="326" spans="2:16" ht="15">
      <c r="B326">
        <f t="shared" si="47"/>
        <v>15.85000000000009</v>
      </c>
      <c r="C326">
        <f>IF(Eingabe_Ausgabe!$B$13=1,Berechnung!C325,C325+G325*B326)</f>
        <v>41.00026417135857</v>
      </c>
      <c r="D326">
        <f>IF(Eingabe_Ausgabe!$B$13=1,Berechnung!D325+dt*g,D325+H325*B326)</f>
        <v>-388.01255279454824</v>
      </c>
      <c r="E326">
        <f>0.5*roh_luft*Eingabe_Ausgabe!$B$7*(C326*C326+D326*D326)</f>
        <v>10777358.94771261</v>
      </c>
      <c r="F326">
        <f t="shared" si="40"/>
        <v>-1.4655196271373019</v>
      </c>
      <c r="G326">
        <f>IF(Eingabe_Ausgabe!$B$13=1,0,-COS(F326)*E326/m)</f>
        <v>0</v>
      </c>
      <c r="H326">
        <f>IF(Eingabe_Ausgabe!$B$13=1,g,g-SIN(F326)*E326/m)</f>
        <v>-9.81</v>
      </c>
      <c r="I326" s="4">
        <f t="shared" si="49"/>
        <v>0</v>
      </c>
      <c r="J326" s="4">
        <f t="shared" si="48"/>
        <v>0</v>
      </c>
      <c r="K326">
        <f t="shared" si="41"/>
        <v>0</v>
      </c>
      <c r="L326">
        <f t="shared" si="42"/>
        <v>-83.96808942855347</v>
      </c>
      <c r="M326">
        <f t="shared" si="43"/>
        <v>103326.81575144947</v>
      </c>
      <c r="N326">
        <f t="shared" si="44"/>
        <v>-846143.7650251836</v>
      </c>
      <c r="O326">
        <f t="shared" si="45"/>
        <v>103326.81575144947</v>
      </c>
      <c r="P326">
        <f t="shared" si="46"/>
        <v>-715319.6283376849</v>
      </c>
    </row>
    <row r="327" spans="2:16" ht="15">
      <c r="B327">
        <f t="shared" si="47"/>
        <v>15.900000000000091</v>
      </c>
      <c r="C327">
        <f>IF(Eingabe_Ausgabe!$B$13=1,Berechnung!C326,C326+G326*B327)</f>
        <v>41.00026417135857</v>
      </c>
      <c r="D327">
        <f>IF(Eingabe_Ausgabe!$B$13=1,Berechnung!D326+dt*g,D326+H326*B327)</f>
        <v>-388.50305279454824</v>
      </c>
      <c r="E327">
        <f>0.5*roh_luft*Eingabe_Ausgabe!$B$7*(C327*C327+D327*D327)</f>
        <v>10804323.158444699</v>
      </c>
      <c r="F327">
        <f t="shared" si="40"/>
        <v>-1.4656515649330422</v>
      </c>
      <c r="G327">
        <f>IF(Eingabe_Ausgabe!$B$13=1,0,-COS(F327)*E327/m)</f>
        <v>0</v>
      </c>
      <c r="H327">
        <f>IF(Eingabe_Ausgabe!$B$13=1,g,g-SIN(F327)*E327/m)</f>
        <v>-9.81</v>
      </c>
      <c r="I327" s="4">
        <f t="shared" si="49"/>
        <v>0</v>
      </c>
      <c r="J327" s="4">
        <f t="shared" si="48"/>
        <v>0</v>
      </c>
      <c r="K327">
        <f t="shared" si="41"/>
        <v>0</v>
      </c>
      <c r="L327">
        <f t="shared" si="42"/>
        <v>-83.97564890740765</v>
      </c>
      <c r="M327">
        <f t="shared" si="43"/>
        <v>103978.71995177407</v>
      </c>
      <c r="N327">
        <f t="shared" si="44"/>
        <v>-852320.9635646169</v>
      </c>
      <c r="O327">
        <f t="shared" si="45"/>
        <v>103978.71995177407</v>
      </c>
      <c r="P327">
        <f t="shared" si="46"/>
        <v>-720256.7938271182</v>
      </c>
    </row>
    <row r="328" spans="2:16" ht="15">
      <c r="B328">
        <f t="shared" si="47"/>
        <v>15.950000000000092</v>
      </c>
      <c r="C328">
        <f>IF(Eingabe_Ausgabe!$B$13=1,Berechnung!C327,C327+G327*B328)</f>
        <v>41.00026417135857</v>
      </c>
      <c r="D328">
        <f>IF(Eingabe_Ausgabe!$B$13=1,Berechnung!D327+dt*g,D327+H327*B328)</f>
        <v>-388.99355279454824</v>
      </c>
      <c r="E328">
        <f>0.5*roh_luft*Eingabe_Ausgabe!$B$7*(C328*C328+D328*D328)</f>
        <v>10831321.434030784</v>
      </c>
      <c r="F328">
        <f t="shared" si="40"/>
        <v>-1.4657831736562195</v>
      </c>
      <c r="G328">
        <f>IF(Eingabe_Ausgabe!$B$13=1,0,-COS(F328)*E328/m)</f>
        <v>0</v>
      </c>
      <c r="H328">
        <f>IF(Eingabe_Ausgabe!$B$13=1,g,g-SIN(F328)*E328/m)</f>
        <v>-9.81</v>
      </c>
      <c r="I328" s="4">
        <f t="shared" si="49"/>
        <v>0</v>
      </c>
      <c r="J328" s="4">
        <f t="shared" si="48"/>
        <v>0</v>
      </c>
      <c r="K328">
        <f t="shared" si="41"/>
        <v>0</v>
      </c>
      <c r="L328">
        <f t="shared" si="42"/>
        <v>-83.9831895317928</v>
      </c>
      <c r="M328">
        <f t="shared" si="43"/>
        <v>104632.67416530724</v>
      </c>
      <c r="N328">
        <f t="shared" si="44"/>
        <v>-858525.4107316899</v>
      </c>
      <c r="O328">
        <f t="shared" si="45"/>
        <v>104632.67416530724</v>
      </c>
      <c r="P328">
        <f t="shared" si="46"/>
        <v>-725213.3967316913</v>
      </c>
    </row>
    <row r="329" spans="2:16" ht="15">
      <c r="B329">
        <f t="shared" si="47"/>
        <v>16.000000000000092</v>
      </c>
      <c r="C329">
        <f>IF(Eingabe_Ausgabe!$B$13=1,Berechnung!C328,C328+G328*B329)</f>
        <v>41.00026417135857</v>
      </c>
      <c r="D329">
        <f>IF(Eingabe_Ausgabe!$B$13=1,Berechnung!D328+dt*g,D328+H328*B329)</f>
        <v>-389.48405279454823</v>
      </c>
      <c r="E329">
        <f>0.5*roh_luft*Eingabe_Ausgabe!$B$7*(C329*C329+D329*D329)</f>
        <v>10858353.774470862</v>
      </c>
      <c r="F329">
        <f aca="true" t="shared" si="50" ref="F329:F392">ATAN(D329/C329)</f>
        <v>-1.4659144545318923</v>
      </c>
      <c r="G329">
        <f>IF(Eingabe_Ausgabe!$B$13=1,0,-COS(F329)*E329/m)</f>
        <v>0</v>
      </c>
      <c r="H329">
        <f>IF(Eingabe_Ausgabe!$B$13=1,g,g-SIN(F329)*E329/m)</f>
        <v>-9.81</v>
      </c>
      <c r="I329" s="4">
        <f t="shared" si="49"/>
        <v>0</v>
      </c>
      <c r="J329" s="4">
        <f t="shared" si="48"/>
        <v>0</v>
      </c>
      <c r="K329">
        <f t="shared" si="41"/>
        <v>0</v>
      </c>
      <c r="L329">
        <f t="shared" si="42"/>
        <v>-83.99071137189964</v>
      </c>
      <c r="M329">
        <f t="shared" si="43"/>
        <v>105288.67839204898</v>
      </c>
      <c r="N329">
        <f t="shared" si="44"/>
        <v>-864757.1555764027</v>
      </c>
      <c r="O329">
        <f t="shared" si="45"/>
        <v>105288.67839204898</v>
      </c>
      <c r="P329">
        <f t="shared" si="46"/>
        <v>-730189.4615764042</v>
      </c>
    </row>
    <row r="330" spans="2:16" ht="15">
      <c r="B330">
        <f t="shared" si="47"/>
        <v>16.050000000000093</v>
      </c>
      <c r="C330">
        <f>IF(Eingabe_Ausgabe!$B$13=1,Berechnung!C329,C329+G329*B330)</f>
        <v>41.00026417135857</v>
      </c>
      <c r="D330">
        <f>IF(Eingabe_Ausgabe!$B$13=1,Berechnung!D329+dt*g,D329+H329*B330)</f>
        <v>-389.97455279454823</v>
      </c>
      <c r="E330">
        <f>0.5*roh_luft*Eingabe_Ausgabe!$B$7*(C330*C330+D330*D330)</f>
        <v>10885420.179764936</v>
      </c>
      <c r="F330">
        <f t="shared" si="50"/>
        <v>-1.4660454087790686</v>
      </c>
      <c r="G330">
        <f>IF(Eingabe_Ausgabe!$B$13=1,0,-COS(F330)*E330/m)</f>
        <v>0</v>
      </c>
      <c r="H330">
        <f>IF(Eingabe_Ausgabe!$B$13=1,g,g-SIN(F330)*E330/m)</f>
        <v>-9.81</v>
      </c>
      <c r="I330" s="4">
        <f t="shared" si="49"/>
        <v>0</v>
      </c>
      <c r="J330" s="4">
        <f t="shared" si="48"/>
        <v>0</v>
      </c>
      <c r="K330">
        <f aca="true" t="shared" si="51" ref="K330:K393">IF(N329&lt;=0,0,SQRT(C330*C330+D330*D330)*3.6)</f>
        <v>0</v>
      </c>
      <c r="L330">
        <f aca="true" t="shared" si="52" ref="L330:L393">DEGREES(F330)</f>
        <v>-83.99821449757216</v>
      </c>
      <c r="M330">
        <f aca="true" t="shared" si="53" ref="M330:M393">M329+C330*B330</f>
        <v>105946.73263199929</v>
      </c>
      <c r="N330">
        <f aca="true" t="shared" si="54" ref="N330:N393">N329+D330*B330</f>
        <v>-871016.2471487552</v>
      </c>
      <c r="O330">
        <f aca="true" t="shared" si="55" ref="O330:O393">O329+$C$9*B330</f>
        <v>105946.73263199929</v>
      </c>
      <c r="P330">
        <f aca="true" t="shared" si="56" ref="P330:P393">P329+v_Anfang*SIN(alpha)*B330+g/2*B330*B330</f>
        <v>-735185.0128862568</v>
      </c>
    </row>
    <row r="331" spans="2:16" ht="15">
      <c r="B331">
        <f aca="true" t="shared" si="57" ref="B331:B394">$B$10+B330</f>
        <v>16.100000000000094</v>
      </c>
      <c r="C331">
        <f>IF(Eingabe_Ausgabe!$B$13=1,Berechnung!C330,C330+G330*B331)</f>
        <v>41.00026417135857</v>
      </c>
      <c r="D331">
        <f>IF(Eingabe_Ausgabe!$B$13=1,Berechnung!D330+dt*g,D330+H330*B331)</f>
        <v>-390.4650527945482</v>
      </c>
      <c r="E331">
        <f>0.5*roh_luft*Eingabe_Ausgabe!$B$7*(C331*C331+D331*D331)</f>
        <v>10912520.649913002</v>
      </c>
      <c r="F331">
        <f t="shared" si="50"/>
        <v>-1.4661760376107429</v>
      </c>
      <c r="G331">
        <f>IF(Eingabe_Ausgabe!$B$13=1,0,-COS(F331)*E331/m)</f>
        <v>0</v>
      </c>
      <c r="H331">
        <f>IF(Eingabe_Ausgabe!$B$13=1,g,g-SIN(F331)*E331/m)</f>
        <v>-9.81</v>
      </c>
      <c r="I331" s="4">
        <f t="shared" si="49"/>
        <v>0</v>
      </c>
      <c r="J331" s="4">
        <f aca="true" t="shared" si="58" ref="J331:J394">IF($B$1*3.6&lt;=K331,1,0)</f>
        <v>0</v>
      </c>
      <c r="K331">
        <f t="shared" si="51"/>
        <v>0</v>
      </c>
      <c r="L331">
        <f t="shared" si="52"/>
        <v>-84.00569897830982</v>
      </c>
      <c r="M331">
        <f t="shared" si="53"/>
        <v>106606.83688515816</v>
      </c>
      <c r="N331">
        <f t="shared" si="54"/>
        <v>-877302.7344987475</v>
      </c>
      <c r="O331">
        <f t="shared" si="55"/>
        <v>106606.83688515816</v>
      </c>
      <c r="P331">
        <f t="shared" si="56"/>
        <v>-740200.075186249</v>
      </c>
    </row>
    <row r="332" spans="2:16" ht="15">
      <c r="B332">
        <f t="shared" si="57"/>
        <v>16.150000000000095</v>
      </c>
      <c r="C332">
        <f>IF(Eingabe_Ausgabe!$B$13=1,Berechnung!C331,C331+G331*B332)</f>
        <v>41.00026417135857</v>
      </c>
      <c r="D332">
        <f>IF(Eingabe_Ausgabe!$B$13=1,Berechnung!D331+dt*g,D331+H331*B332)</f>
        <v>-390.9555527945482</v>
      </c>
      <c r="E332">
        <f>0.5*roh_luft*Eingabe_Ausgabe!$B$7*(C332*C332+D332*D332)</f>
        <v>10939655.184915062</v>
      </c>
      <c r="F332">
        <f t="shared" si="50"/>
        <v>-1.4663063422339333</v>
      </c>
      <c r="G332">
        <f>IF(Eingabe_Ausgabe!$B$13=1,0,-COS(F332)*E332/m)</f>
        <v>0</v>
      </c>
      <c r="H332">
        <f>IF(Eingabe_Ausgabe!$B$13=1,g,g-SIN(F332)*E332/m)</f>
        <v>-9.81</v>
      </c>
      <c r="I332" s="4">
        <f aca="true" t="shared" si="59" ref="I332:I395">IF(AND(N332&lt;=0,I331=0,N331&gt;0),1,0)</f>
        <v>0</v>
      </c>
      <c r="J332" s="4">
        <f t="shared" si="58"/>
        <v>0</v>
      </c>
      <c r="K332">
        <f t="shared" si="51"/>
        <v>0</v>
      </c>
      <c r="L332">
        <f t="shared" si="52"/>
        <v>-84.01316488326967</v>
      </c>
      <c r="M332">
        <f t="shared" si="53"/>
        <v>107268.99115152561</v>
      </c>
      <c r="N332">
        <f t="shared" si="54"/>
        <v>-883616.6666763795</v>
      </c>
      <c r="O332">
        <f t="shared" si="55"/>
        <v>107268.99115152561</v>
      </c>
      <c r="P332">
        <f t="shared" si="56"/>
        <v>-745234.673001381</v>
      </c>
    </row>
    <row r="333" spans="2:16" ht="15">
      <c r="B333">
        <f t="shared" si="57"/>
        <v>16.200000000000095</v>
      </c>
      <c r="C333">
        <f>IF(Eingabe_Ausgabe!$B$13=1,Berechnung!C332,C332+G332*B333)</f>
        <v>41.00026417135857</v>
      </c>
      <c r="D333">
        <f>IF(Eingabe_Ausgabe!$B$13=1,Berechnung!D332+dt*g,D332+H332*B333)</f>
        <v>-391.4460527945482</v>
      </c>
      <c r="E333">
        <f>0.5*roh_luft*Eingabe_Ausgabe!$B$7*(C333*C333+D333*D333)</f>
        <v>10966823.784771115</v>
      </c>
      <c r="F333">
        <f t="shared" si="50"/>
        <v>-1.4664363238497176</v>
      </c>
      <c r="G333">
        <f>IF(Eingabe_Ausgabe!$B$13=1,0,-COS(F333)*E333/m)</f>
        <v>0</v>
      </c>
      <c r="H333">
        <f>IF(Eingabe_Ausgabe!$B$13=1,g,g-SIN(F333)*E333/m)</f>
        <v>-9.81</v>
      </c>
      <c r="I333" s="4">
        <f t="shared" si="59"/>
        <v>0</v>
      </c>
      <c r="J333" s="4">
        <f t="shared" si="58"/>
        <v>0</v>
      </c>
      <c r="K333">
        <f t="shared" si="51"/>
        <v>0</v>
      </c>
      <c r="L333">
        <f t="shared" si="52"/>
        <v>-84.0206122812684</v>
      </c>
      <c r="M333">
        <f t="shared" si="53"/>
        <v>107933.19543110162</v>
      </c>
      <c r="N333">
        <f t="shared" si="54"/>
        <v>-889958.0927316513</v>
      </c>
      <c r="O333">
        <f t="shared" si="55"/>
        <v>107933.19543110162</v>
      </c>
      <c r="P333">
        <f t="shared" si="56"/>
        <v>-750288.8308566527</v>
      </c>
    </row>
    <row r="334" spans="2:16" ht="15">
      <c r="B334">
        <f t="shared" si="57"/>
        <v>16.250000000000096</v>
      </c>
      <c r="C334">
        <f>IF(Eingabe_Ausgabe!$B$13=1,Berechnung!C333,C333+G333*B334)</f>
        <v>41.00026417135857</v>
      </c>
      <c r="D334">
        <f>IF(Eingabe_Ausgabe!$B$13=1,Berechnung!D333+dt*g,D333+H333*B334)</f>
        <v>-391.9365527945482</v>
      </c>
      <c r="E334">
        <f>0.5*roh_luft*Eingabe_Ausgabe!$B$7*(C334*C334+D334*D334)</f>
        <v>10994026.449481161</v>
      </c>
      <c r="F334">
        <f t="shared" si="50"/>
        <v>-1.46656598365327</v>
      </c>
      <c r="G334">
        <f>IF(Eingabe_Ausgabe!$B$13=1,0,-COS(F334)*E334/m)</f>
        <v>0</v>
      </c>
      <c r="H334">
        <f>IF(Eingabe_Ausgabe!$B$13=1,g,g-SIN(F334)*E334/m)</f>
        <v>-9.81</v>
      </c>
      <c r="I334" s="4">
        <f t="shared" si="59"/>
        <v>0</v>
      </c>
      <c r="J334" s="4">
        <f t="shared" si="58"/>
        <v>0</v>
      </c>
      <c r="K334">
        <f t="shared" si="51"/>
        <v>0</v>
      </c>
      <c r="L334">
        <f t="shared" si="52"/>
        <v>-84.02804124078446</v>
      </c>
      <c r="M334">
        <f t="shared" si="53"/>
        <v>108599.4497238862</v>
      </c>
      <c r="N334">
        <f t="shared" si="54"/>
        <v>-896327.0617145627</v>
      </c>
      <c r="O334">
        <f t="shared" si="55"/>
        <v>108599.4497238862</v>
      </c>
      <c r="P334">
        <f t="shared" si="56"/>
        <v>-755362.5732770641</v>
      </c>
    </row>
    <row r="335" spans="2:16" ht="15">
      <c r="B335">
        <f t="shared" si="57"/>
        <v>16.300000000000097</v>
      </c>
      <c r="C335">
        <f>IF(Eingabe_Ausgabe!$B$13=1,Berechnung!C334,C334+G334*B335)</f>
        <v>41.00026417135857</v>
      </c>
      <c r="D335">
        <f>IF(Eingabe_Ausgabe!$B$13=1,Berechnung!D334+dt*g,D334+H334*B335)</f>
        <v>-392.4270527945482</v>
      </c>
      <c r="E335">
        <f>0.5*roh_luft*Eingabe_Ausgabe!$B$7*(C335*C335+D335*D335)</f>
        <v>11021263.179045202</v>
      </c>
      <c r="F335">
        <f t="shared" si="50"/>
        <v>-1.466695322833898</v>
      </c>
      <c r="G335">
        <f>IF(Eingabe_Ausgabe!$B$13=1,0,-COS(F335)*E335/m)</f>
        <v>0</v>
      </c>
      <c r="H335">
        <f>IF(Eingabe_Ausgabe!$B$13=1,g,g-SIN(F335)*E335/m)</f>
        <v>-9.81</v>
      </c>
      <c r="I335" s="4">
        <f t="shared" si="59"/>
        <v>0</v>
      </c>
      <c r="J335" s="4">
        <f t="shared" si="58"/>
        <v>0</v>
      </c>
      <c r="K335">
        <f t="shared" si="51"/>
        <v>0</v>
      </c>
      <c r="L335">
        <f t="shared" si="52"/>
        <v>-84.03545182996011</v>
      </c>
      <c r="M335">
        <f t="shared" si="53"/>
        <v>109267.75402987935</v>
      </c>
      <c r="N335">
        <f t="shared" si="54"/>
        <v>-902723.6226751138</v>
      </c>
      <c r="O335">
        <f t="shared" si="55"/>
        <v>109267.75402987935</v>
      </c>
      <c r="P335">
        <f t="shared" si="56"/>
        <v>-760455.9247876153</v>
      </c>
    </row>
    <row r="336" spans="2:16" ht="15">
      <c r="B336">
        <f t="shared" si="57"/>
        <v>16.350000000000097</v>
      </c>
      <c r="C336">
        <f>IF(Eingabe_Ausgabe!$B$13=1,Berechnung!C335,C335+G335*B336)</f>
        <v>41.00026417135857</v>
      </c>
      <c r="D336">
        <f>IF(Eingabe_Ausgabe!$B$13=1,Berechnung!D335+dt*g,D335+H335*B336)</f>
        <v>-392.9175527945482</v>
      </c>
      <c r="E336">
        <f>0.5*roh_luft*Eingabe_Ausgabe!$B$7*(C336*C336+D336*D336)</f>
        <v>11048533.973463235</v>
      </c>
      <c r="F336">
        <f t="shared" si="50"/>
        <v>-1.4668243425750764</v>
      </c>
      <c r="G336">
        <f>IF(Eingabe_Ausgabe!$B$13=1,0,-COS(F336)*E336/m)</f>
        <v>0</v>
      </c>
      <c r="H336">
        <f>IF(Eingabe_Ausgabe!$B$13=1,g,g-SIN(F336)*E336/m)</f>
        <v>-9.81</v>
      </c>
      <c r="I336" s="4">
        <f t="shared" si="59"/>
        <v>0</v>
      </c>
      <c r="J336" s="4">
        <f t="shared" si="58"/>
        <v>0</v>
      </c>
      <c r="K336">
        <f t="shared" si="51"/>
        <v>0</v>
      </c>
      <c r="L336">
        <f t="shared" si="52"/>
        <v>-84.0428441166035</v>
      </c>
      <c r="M336">
        <f t="shared" si="53"/>
        <v>109938.10834908106</v>
      </c>
      <c r="N336">
        <f t="shared" si="54"/>
        <v>-909147.8246633047</v>
      </c>
      <c r="O336">
        <f t="shared" si="55"/>
        <v>109938.10834908106</v>
      </c>
      <c r="P336">
        <f t="shared" si="56"/>
        <v>-765568.9099133062</v>
      </c>
    </row>
    <row r="337" spans="2:16" ht="15">
      <c r="B337">
        <f t="shared" si="57"/>
        <v>16.400000000000098</v>
      </c>
      <c r="C337">
        <f>IF(Eingabe_Ausgabe!$B$13=1,Berechnung!C336,C336+G336*B337)</f>
        <v>41.00026417135857</v>
      </c>
      <c r="D337">
        <f>IF(Eingabe_Ausgabe!$B$13=1,Berechnung!D336+dt*g,D336+H336*B337)</f>
        <v>-393.4080527945482</v>
      </c>
      <c r="E337">
        <f>0.5*roh_luft*Eingabe_Ausgabe!$B$7*(C337*C337+D337*D337)</f>
        <v>11075838.832735263</v>
      </c>
      <c r="F337">
        <f t="shared" si="50"/>
        <v>-1.4669530440544845</v>
      </c>
      <c r="G337">
        <f>IF(Eingabe_Ausgabe!$B$13=1,0,-COS(F337)*E337/m)</f>
        <v>0</v>
      </c>
      <c r="H337">
        <f>IF(Eingabe_Ausgabe!$B$13=1,g,g-SIN(F337)*E337/m)</f>
        <v>-9.81</v>
      </c>
      <c r="I337" s="4">
        <f t="shared" si="59"/>
        <v>0</v>
      </c>
      <c r="J337" s="4">
        <f t="shared" si="58"/>
        <v>0</v>
      </c>
      <c r="K337">
        <f t="shared" si="51"/>
        <v>0</v>
      </c>
      <c r="L337">
        <f t="shared" si="52"/>
        <v>-84.05021816819068</v>
      </c>
      <c r="M337">
        <f t="shared" si="53"/>
        <v>110610.51268149134</v>
      </c>
      <c r="N337">
        <f t="shared" si="54"/>
        <v>-915599.7167291354</v>
      </c>
      <c r="O337">
        <f t="shared" si="55"/>
        <v>110610.51268149134</v>
      </c>
      <c r="P337">
        <f t="shared" si="56"/>
        <v>-770701.553179137</v>
      </c>
    </row>
    <row r="338" spans="2:16" ht="15">
      <c r="B338">
        <f t="shared" si="57"/>
        <v>16.4500000000001</v>
      </c>
      <c r="C338">
        <f>IF(Eingabe_Ausgabe!$B$13=1,Berechnung!C337,C337+G337*B338)</f>
        <v>41.00026417135857</v>
      </c>
      <c r="D338">
        <f>IF(Eingabe_Ausgabe!$B$13=1,Berechnung!D337+dt*g,D337+H337*B338)</f>
        <v>-393.8985527945482</v>
      </c>
      <c r="E338">
        <f>0.5*roh_luft*Eingabe_Ausgabe!$B$7*(C338*C338+D338*D338)</f>
        <v>11103177.756861284</v>
      </c>
      <c r="F338">
        <f t="shared" si="50"/>
        <v>-1.4670814284440405</v>
      </c>
      <c r="G338">
        <f>IF(Eingabe_Ausgabe!$B$13=1,0,-COS(F338)*E338/m)</f>
        <v>0</v>
      </c>
      <c r="H338">
        <f>IF(Eingabe_Ausgabe!$B$13=1,g,g-SIN(F338)*E338/m)</f>
        <v>-9.81</v>
      </c>
      <c r="I338" s="4">
        <f t="shared" si="59"/>
        <v>0</v>
      </c>
      <c r="J338" s="4">
        <f t="shared" si="58"/>
        <v>0</v>
      </c>
      <c r="K338">
        <f t="shared" si="51"/>
        <v>0</v>
      </c>
      <c r="L338">
        <f t="shared" si="52"/>
        <v>-84.0575740518676</v>
      </c>
      <c r="M338">
        <f t="shared" si="53"/>
        <v>111284.9670271102</v>
      </c>
      <c r="N338">
        <f t="shared" si="54"/>
        <v>-922079.3479226057</v>
      </c>
      <c r="O338">
        <f t="shared" si="55"/>
        <v>111284.9670271102</v>
      </c>
      <c r="P338">
        <f t="shared" si="56"/>
        <v>-775853.8791101073</v>
      </c>
    </row>
    <row r="339" spans="2:16" ht="15">
      <c r="B339">
        <f t="shared" si="57"/>
        <v>16.5000000000001</v>
      </c>
      <c r="C339">
        <f>IF(Eingabe_Ausgabe!$B$13=1,Berechnung!C338,C338+G338*B339)</f>
        <v>41.00026417135857</v>
      </c>
      <c r="D339">
        <f>IF(Eingabe_Ausgabe!$B$13=1,Berechnung!D338+dt*g,D338+H338*B339)</f>
        <v>-394.3890527945482</v>
      </c>
      <c r="E339">
        <f>0.5*roh_luft*Eingabe_Ausgabe!$B$7*(C339*C339+D339*D339)</f>
        <v>11130550.7458413</v>
      </c>
      <c r="F339">
        <f t="shared" si="50"/>
        <v>-1.4672094969099374</v>
      </c>
      <c r="G339">
        <f>IF(Eingabe_Ausgabe!$B$13=1,0,-COS(F339)*E339/m)</f>
        <v>0</v>
      </c>
      <c r="H339">
        <f>IF(Eingabe_Ausgabe!$B$13=1,g,g-SIN(F339)*E339/m)</f>
        <v>-9.81</v>
      </c>
      <c r="I339" s="4">
        <f t="shared" si="59"/>
        <v>0</v>
      </c>
      <c r="J339" s="4">
        <f t="shared" si="58"/>
        <v>0</v>
      </c>
      <c r="K339">
        <f t="shared" si="51"/>
        <v>0</v>
      </c>
      <c r="L339">
        <f t="shared" si="52"/>
        <v>-84.06491183445222</v>
      </c>
      <c r="M339">
        <f t="shared" si="53"/>
        <v>111961.47138593762</v>
      </c>
      <c r="N339">
        <f t="shared" si="54"/>
        <v>-928586.7672937157</v>
      </c>
      <c r="O339">
        <f t="shared" si="55"/>
        <v>111961.47138593762</v>
      </c>
      <c r="P339">
        <f t="shared" si="56"/>
        <v>-781025.9122312174</v>
      </c>
    </row>
    <row r="340" spans="2:16" ht="15">
      <c r="B340">
        <f t="shared" si="57"/>
        <v>16.5500000000001</v>
      </c>
      <c r="C340">
        <f>IF(Eingabe_Ausgabe!$B$13=1,Berechnung!C339,C339+G339*B340)</f>
        <v>41.00026417135857</v>
      </c>
      <c r="D340">
        <f>IF(Eingabe_Ausgabe!$B$13=1,Berechnung!D339+dt*g,D339+H339*B340)</f>
        <v>-394.8795527945482</v>
      </c>
      <c r="E340">
        <f>0.5*roh_luft*Eingabe_Ausgabe!$B$7*(C340*C340+D340*D340)</f>
        <v>11157957.79967531</v>
      </c>
      <c r="F340">
        <f t="shared" si="50"/>
        <v>-1.4673372506126765</v>
      </c>
      <c r="G340">
        <f>IF(Eingabe_Ausgabe!$B$13=1,0,-COS(F340)*E340/m)</f>
        <v>0</v>
      </c>
      <c r="H340">
        <f>IF(Eingabe_Ausgabe!$B$13=1,g,g-SIN(F340)*E340/m)</f>
        <v>-9.81</v>
      </c>
      <c r="I340" s="4">
        <f t="shared" si="59"/>
        <v>0</v>
      </c>
      <c r="J340" s="4">
        <f t="shared" si="58"/>
        <v>0</v>
      </c>
      <c r="K340">
        <f t="shared" si="51"/>
        <v>0</v>
      </c>
      <c r="L340">
        <f t="shared" si="52"/>
        <v>-84.07223158243633</v>
      </c>
      <c r="M340">
        <f t="shared" si="53"/>
        <v>112640.0257579736</v>
      </c>
      <c r="N340">
        <f t="shared" si="54"/>
        <v>-935122.0238924655</v>
      </c>
      <c r="O340">
        <f t="shared" si="55"/>
        <v>112640.0257579736</v>
      </c>
      <c r="P340">
        <f t="shared" si="56"/>
        <v>-786217.6770674672</v>
      </c>
    </row>
    <row r="341" spans="2:16" ht="15">
      <c r="B341">
        <f t="shared" si="57"/>
        <v>16.6000000000001</v>
      </c>
      <c r="C341">
        <f>IF(Eingabe_Ausgabe!$B$13=1,Berechnung!C340,C340+G340*B341)</f>
        <v>41.00026417135857</v>
      </c>
      <c r="D341">
        <f>IF(Eingabe_Ausgabe!$B$13=1,Berechnung!D340+dt*g,D340+H340*B341)</f>
        <v>-395.3700527945482</v>
      </c>
      <c r="E341">
        <f>0.5*roh_luft*Eingabe_Ausgabe!$B$7*(C341*C341+D341*D341)</f>
        <v>11185398.91836331</v>
      </c>
      <c r="F341">
        <f t="shared" si="50"/>
        <v>-1.4674646907071032</v>
      </c>
      <c r="G341">
        <f>IF(Eingabe_Ausgabe!$B$13=1,0,-COS(F341)*E341/m)</f>
        <v>0</v>
      </c>
      <c r="H341">
        <f>IF(Eingabe_Ausgabe!$B$13=1,g,g-SIN(F341)*E341/m)</f>
        <v>-9.81</v>
      </c>
      <c r="I341" s="4">
        <f t="shared" si="59"/>
        <v>0</v>
      </c>
      <c r="J341" s="4">
        <f t="shared" si="58"/>
        <v>0</v>
      </c>
      <c r="K341">
        <f t="shared" si="51"/>
        <v>0</v>
      </c>
      <c r="L341">
        <f t="shared" si="52"/>
        <v>-84.07953336198773</v>
      </c>
      <c r="M341">
        <f t="shared" si="53"/>
        <v>113320.63014321816</v>
      </c>
      <c r="N341">
        <f t="shared" si="54"/>
        <v>-941685.1667688551</v>
      </c>
      <c r="O341">
        <f t="shared" si="55"/>
        <v>113320.63014321816</v>
      </c>
      <c r="P341">
        <f t="shared" si="56"/>
        <v>-791429.1981438567</v>
      </c>
    </row>
    <row r="342" spans="2:16" ht="15">
      <c r="B342">
        <f t="shared" si="57"/>
        <v>16.6500000000001</v>
      </c>
      <c r="C342">
        <f>IF(Eingabe_Ausgabe!$B$13=1,Berechnung!C341,C341+G341*B342)</f>
        <v>41.00026417135857</v>
      </c>
      <c r="D342">
        <f>IF(Eingabe_Ausgabe!$B$13=1,Berechnung!D341+dt*g,D341+H341*B342)</f>
        <v>-395.8605527945482</v>
      </c>
      <c r="E342">
        <f>0.5*roh_luft*Eingabe_Ausgabe!$B$7*(C342*C342+D342*D342)</f>
        <v>11212874.101905307</v>
      </c>
      <c r="F342">
        <f t="shared" si="50"/>
        <v>-1.4675918183424406</v>
      </c>
      <c r="G342">
        <f>IF(Eingabe_Ausgabe!$B$13=1,0,-COS(F342)*E342/m)</f>
        <v>0</v>
      </c>
      <c r="H342">
        <f>IF(Eingabe_Ausgabe!$B$13=1,g,g-SIN(F342)*E342/m)</f>
        <v>-9.81</v>
      </c>
      <c r="I342" s="4">
        <f t="shared" si="59"/>
        <v>0</v>
      </c>
      <c r="J342" s="4">
        <f t="shared" si="58"/>
        <v>0</v>
      </c>
      <c r="K342">
        <f t="shared" si="51"/>
        <v>0</v>
      </c>
      <c r="L342">
        <f t="shared" si="52"/>
        <v>-84.08681723895204</v>
      </c>
      <c r="M342">
        <f t="shared" si="53"/>
        <v>114003.2845416713</v>
      </c>
      <c r="N342">
        <f t="shared" si="54"/>
        <v>-948276.2449728843</v>
      </c>
      <c r="O342">
        <f t="shared" si="55"/>
        <v>114003.2845416713</v>
      </c>
      <c r="P342">
        <f t="shared" si="56"/>
        <v>-796660.499985386</v>
      </c>
    </row>
    <row r="343" spans="2:16" ht="15">
      <c r="B343">
        <f t="shared" si="57"/>
        <v>16.700000000000102</v>
      </c>
      <c r="C343">
        <f>IF(Eingabe_Ausgabe!$B$13=1,Berechnung!C342,C342+G342*B343)</f>
        <v>41.00026417135857</v>
      </c>
      <c r="D343">
        <f>IF(Eingabe_Ausgabe!$B$13=1,Berechnung!D342+dt*g,D342+H342*B343)</f>
        <v>-396.3510527945482</v>
      </c>
      <c r="E343">
        <f>0.5*roh_luft*Eingabe_Ausgabe!$B$7*(C343*C343+D343*D343)</f>
        <v>11240383.350301297</v>
      </c>
      <c r="F343">
        <f t="shared" si="50"/>
        <v>-1.4677186346623239</v>
      </c>
      <c r="G343">
        <f>IF(Eingabe_Ausgabe!$B$13=1,0,-COS(F343)*E343/m)</f>
        <v>0</v>
      </c>
      <c r="H343">
        <f>IF(Eingabe_Ausgabe!$B$13=1,g,g-SIN(F343)*E343/m)</f>
        <v>-9.81</v>
      </c>
      <c r="I343" s="4">
        <f t="shared" si="59"/>
        <v>0</v>
      </c>
      <c r="J343" s="4">
        <f t="shared" si="58"/>
        <v>0</v>
      </c>
      <c r="K343">
        <f t="shared" si="51"/>
        <v>0</v>
      </c>
      <c r="L343">
        <f t="shared" si="52"/>
        <v>-84.09408327885474</v>
      </c>
      <c r="M343">
        <f t="shared" si="53"/>
        <v>114687.98895333298</v>
      </c>
      <c r="N343">
        <f t="shared" si="54"/>
        <v>-954895.3075545533</v>
      </c>
      <c r="O343">
        <f t="shared" si="55"/>
        <v>114687.98895333298</v>
      </c>
      <c r="P343">
        <f t="shared" si="56"/>
        <v>-801911.607117055</v>
      </c>
    </row>
    <row r="344" spans="2:16" ht="15">
      <c r="B344">
        <f t="shared" si="57"/>
        <v>16.750000000000103</v>
      </c>
      <c r="C344">
        <f>IF(Eingabe_Ausgabe!$B$13=1,Berechnung!C343,C343+G343*B344)</f>
        <v>41.00026417135857</v>
      </c>
      <c r="D344">
        <f>IF(Eingabe_Ausgabe!$B$13=1,Berechnung!D343+dt*g,D343+H343*B344)</f>
        <v>-396.8415527945482</v>
      </c>
      <c r="E344">
        <f>0.5*roh_luft*Eingabe_Ausgabe!$B$7*(C344*C344+D344*D344)</f>
        <v>11267926.66355128</v>
      </c>
      <c r="F344">
        <f t="shared" si="50"/>
        <v>-1.467845140804834</v>
      </c>
      <c r="G344">
        <f>IF(Eingabe_Ausgabe!$B$13=1,0,-COS(F344)*E344/m)</f>
        <v>0</v>
      </c>
      <c r="H344">
        <f>IF(Eingabe_Ausgabe!$B$13=1,g,g-SIN(F344)*E344/m)</f>
        <v>-9.81</v>
      </c>
      <c r="I344" s="4">
        <f t="shared" si="59"/>
        <v>0</v>
      </c>
      <c r="J344" s="4">
        <f t="shared" si="58"/>
        <v>0</v>
      </c>
      <c r="K344">
        <f t="shared" si="51"/>
        <v>0</v>
      </c>
      <c r="L344">
        <f t="shared" si="52"/>
        <v>-84.10133154690305</v>
      </c>
      <c r="M344">
        <f t="shared" si="53"/>
        <v>115374.74337820325</v>
      </c>
      <c r="N344">
        <f t="shared" si="54"/>
        <v>-961542.403563862</v>
      </c>
      <c r="O344">
        <f t="shared" si="55"/>
        <v>115374.74337820325</v>
      </c>
      <c r="P344">
        <f t="shared" si="56"/>
        <v>-807182.5440638637</v>
      </c>
    </row>
    <row r="345" spans="2:16" ht="15">
      <c r="B345">
        <f t="shared" si="57"/>
        <v>16.800000000000104</v>
      </c>
      <c r="C345">
        <f>IF(Eingabe_Ausgabe!$B$13=1,Berechnung!C344,C344+G344*B345)</f>
        <v>41.00026417135857</v>
      </c>
      <c r="D345">
        <f>IF(Eingabe_Ausgabe!$B$13=1,Berechnung!D344+dt*g,D344+H344*B345)</f>
        <v>-397.3320527945482</v>
      </c>
      <c r="E345">
        <f>0.5*roh_luft*Eingabe_Ausgabe!$B$7*(C345*C345+D345*D345)</f>
        <v>11295504.041655257</v>
      </c>
      <c r="F345">
        <f t="shared" si="50"/>
        <v>-1.467971337902531</v>
      </c>
      <c r="G345">
        <f>IF(Eingabe_Ausgabe!$B$13=1,0,-COS(F345)*E345/m)</f>
        <v>0</v>
      </c>
      <c r="H345">
        <f>IF(Eingabe_Ausgabe!$B$13=1,g,g-SIN(F345)*E345/m)</f>
        <v>-9.81</v>
      </c>
      <c r="I345" s="4">
        <f t="shared" si="59"/>
        <v>0</v>
      </c>
      <c r="J345" s="4">
        <f t="shared" si="58"/>
        <v>0</v>
      </c>
      <c r="K345">
        <f t="shared" si="51"/>
        <v>0</v>
      </c>
      <c r="L345">
        <f t="shared" si="52"/>
        <v>-84.10856210798788</v>
      </c>
      <c r="M345">
        <f t="shared" si="53"/>
        <v>116063.54781628208</v>
      </c>
      <c r="N345">
        <f t="shared" si="54"/>
        <v>-968217.5820508105</v>
      </c>
      <c r="O345">
        <f t="shared" si="55"/>
        <v>116063.54781628208</v>
      </c>
      <c r="P345">
        <f t="shared" si="56"/>
        <v>-812473.3353508122</v>
      </c>
    </row>
    <row r="346" spans="2:16" ht="15">
      <c r="B346">
        <f t="shared" si="57"/>
        <v>16.850000000000104</v>
      </c>
      <c r="C346">
        <f>IF(Eingabe_Ausgabe!$B$13=1,Berechnung!C345,C345+G345*B346)</f>
        <v>41.00026417135857</v>
      </c>
      <c r="D346">
        <f>IF(Eingabe_Ausgabe!$B$13=1,Berechnung!D345+dt*g,D345+H345*B346)</f>
        <v>-397.8225527945482</v>
      </c>
      <c r="E346">
        <f>0.5*roh_luft*Eingabe_Ausgabe!$B$7*(C346*C346+D346*D346)</f>
        <v>11323115.484613227</v>
      </c>
      <c r="F346">
        <f t="shared" si="50"/>
        <v>-1.4680972270824877</v>
      </c>
      <c r="G346">
        <f>IF(Eingabe_Ausgabe!$B$13=1,0,-COS(F346)*E346/m)</f>
        <v>0</v>
      </c>
      <c r="H346">
        <f>IF(Eingabe_Ausgabe!$B$13=1,g,g-SIN(F346)*E346/m)</f>
        <v>-9.81</v>
      </c>
      <c r="I346" s="4">
        <f t="shared" si="59"/>
        <v>0</v>
      </c>
      <c r="J346" s="4">
        <f t="shared" si="58"/>
        <v>0</v>
      </c>
      <c r="K346">
        <f t="shared" si="51"/>
        <v>0</v>
      </c>
      <c r="L346">
        <f t="shared" si="52"/>
        <v>-84.11577502668577</v>
      </c>
      <c r="M346">
        <f t="shared" si="53"/>
        <v>116754.40226756947</v>
      </c>
      <c r="N346">
        <f t="shared" si="54"/>
        <v>-974920.8920653986</v>
      </c>
      <c r="O346">
        <f t="shared" si="55"/>
        <v>116754.40226756947</v>
      </c>
      <c r="P346">
        <f t="shared" si="56"/>
        <v>-817784.0055029003</v>
      </c>
    </row>
    <row r="347" spans="2:16" ht="15">
      <c r="B347">
        <f t="shared" si="57"/>
        <v>16.900000000000105</v>
      </c>
      <c r="C347">
        <f>IF(Eingabe_Ausgabe!$B$13=1,Berechnung!C346,C346+G346*B347)</f>
        <v>41.00026417135857</v>
      </c>
      <c r="D347">
        <f>IF(Eingabe_Ausgabe!$B$13=1,Berechnung!D346+dt*g,D346+H346*B347)</f>
        <v>-398.3130527945482</v>
      </c>
      <c r="E347">
        <f>0.5*roh_luft*Eingabe_Ausgabe!$B$7*(C347*C347+D347*D347)</f>
        <v>11350760.992425192</v>
      </c>
      <c r="F347">
        <f t="shared" si="50"/>
        <v>-1.4682228094663223</v>
      </c>
      <c r="G347">
        <f>IF(Eingabe_Ausgabe!$B$13=1,0,-COS(F347)*E347/m)</f>
        <v>0</v>
      </c>
      <c r="H347">
        <f>IF(Eingabe_Ausgabe!$B$13=1,g,g-SIN(F347)*E347/m)</f>
        <v>-9.81</v>
      </c>
      <c r="I347" s="4">
        <f t="shared" si="59"/>
        <v>0</v>
      </c>
      <c r="J347" s="4">
        <f t="shared" si="58"/>
        <v>0</v>
      </c>
      <c r="K347">
        <f t="shared" si="51"/>
        <v>0</v>
      </c>
      <c r="L347">
        <f t="shared" si="52"/>
        <v>-84.12297036726068</v>
      </c>
      <c r="M347">
        <f t="shared" si="53"/>
        <v>117447.30673206544</v>
      </c>
      <c r="N347">
        <f t="shared" si="54"/>
        <v>-981652.3826576265</v>
      </c>
      <c r="O347">
        <f t="shared" si="55"/>
        <v>117447.30673206544</v>
      </c>
      <c r="P347">
        <f t="shared" si="56"/>
        <v>-823114.5790451283</v>
      </c>
    </row>
    <row r="348" spans="2:16" ht="15">
      <c r="B348">
        <f t="shared" si="57"/>
        <v>16.950000000000106</v>
      </c>
      <c r="C348">
        <f>IF(Eingabe_Ausgabe!$B$13=1,Berechnung!C347,C347+G347*B348)</f>
        <v>41.00026417135857</v>
      </c>
      <c r="D348">
        <f>IF(Eingabe_Ausgabe!$B$13=1,Berechnung!D347+dt*g,D347+H347*B348)</f>
        <v>-398.8035527945482</v>
      </c>
      <c r="E348">
        <f>0.5*roh_luft*Eingabe_Ausgabe!$B$7*(C348*C348+D348*D348)</f>
        <v>11378440.56509115</v>
      </c>
      <c r="F348">
        <f t="shared" si="50"/>
        <v>-1.4683480861702323</v>
      </c>
      <c r="G348">
        <f>IF(Eingabe_Ausgabe!$B$13=1,0,-COS(F348)*E348/m)</f>
        <v>0</v>
      </c>
      <c r="H348">
        <f>IF(Eingabe_Ausgabe!$B$13=1,g,g-SIN(F348)*E348/m)</f>
        <v>-9.81</v>
      </c>
      <c r="I348" s="4">
        <f t="shared" si="59"/>
        <v>0</v>
      </c>
      <c r="J348" s="4">
        <f t="shared" si="58"/>
        <v>0</v>
      </c>
      <c r="K348">
        <f t="shared" si="51"/>
        <v>0</v>
      </c>
      <c r="L348">
        <f t="shared" si="52"/>
        <v>-84.13014819366603</v>
      </c>
      <c r="M348">
        <f t="shared" si="53"/>
        <v>118142.26120976997</v>
      </c>
      <c r="N348">
        <f t="shared" si="54"/>
        <v>-988412.1028774942</v>
      </c>
      <c r="O348">
        <f t="shared" si="55"/>
        <v>118142.26120976997</v>
      </c>
      <c r="P348">
        <f t="shared" si="56"/>
        <v>-828465.0805024959</v>
      </c>
    </row>
    <row r="349" spans="2:16" ht="15">
      <c r="B349">
        <f t="shared" si="57"/>
        <v>17.000000000000107</v>
      </c>
      <c r="C349">
        <f>IF(Eingabe_Ausgabe!$B$13=1,Berechnung!C348,C348+G348*B349)</f>
        <v>41.00026417135857</v>
      </c>
      <c r="D349">
        <f>IF(Eingabe_Ausgabe!$B$13=1,Berechnung!D348+dt*g,D348+H348*B349)</f>
        <v>-399.2940527945482</v>
      </c>
      <c r="E349">
        <f>0.5*roh_luft*Eingabe_Ausgabe!$B$7*(C349*C349+D349*D349)</f>
        <v>11406154.202611102</v>
      </c>
      <c r="F349">
        <f t="shared" si="50"/>
        <v>-1.4684730583050252</v>
      </c>
      <c r="G349">
        <f>IF(Eingabe_Ausgabe!$B$13=1,0,-COS(F349)*E349/m)</f>
        <v>0</v>
      </c>
      <c r="H349">
        <f>IF(Eingabe_Ausgabe!$B$13=1,g,g-SIN(F349)*E349/m)</f>
        <v>-9.81</v>
      </c>
      <c r="I349" s="4">
        <f t="shared" si="59"/>
        <v>0</v>
      </c>
      <c r="J349" s="4">
        <f t="shared" si="58"/>
        <v>0</v>
      </c>
      <c r="K349">
        <f t="shared" si="51"/>
        <v>0</v>
      </c>
      <c r="L349">
        <f t="shared" si="52"/>
        <v>-84.1373085695464</v>
      </c>
      <c r="M349">
        <f t="shared" si="53"/>
        <v>118839.26570068307</v>
      </c>
      <c r="N349">
        <f t="shared" si="54"/>
        <v>-995200.1017750015</v>
      </c>
      <c r="O349">
        <f t="shared" si="55"/>
        <v>118839.26570068307</v>
      </c>
      <c r="P349">
        <f t="shared" si="56"/>
        <v>-833835.5344000033</v>
      </c>
    </row>
    <row r="350" spans="2:16" ht="15">
      <c r="B350">
        <f t="shared" si="57"/>
        <v>17.050000000000107</v>
      </c>
      <c r="C350">
        <f>IF(Eingabe_Ausgabe!$B$13=1,Berechnung!C349,C349+G349*B350)</f>
        <v>41.00026417135857</v>
      </c>
      <c r="D350">
        <f>IF(Eingabe_Ausgabe!$B$13=1,Berechnung!D349+dt*g,D349+H349*B350)</f>
        <v>-399.7845527945482</v>
      </c>
      <c r="E350">
        <f>0.5*roh_luft*Eingabe_Ausgabe!$B$7*(C350*C350+D350*D350)</f>
        <v>11433901.904985046</v>
      </c>
      <c r="F350">
        <f t="shared" si="50"/>
        <v>-1.4685977269761528</v>
      </c>
      <c r="G350">
        <f>IF(Eingabe_Ausgabe!$B$13=1,0,-COS(F350)*E350/m)</f>
        <v>0</v>
      </c>
      <c r="H350">
        <f>IF(Eingabe_Ausgabe!$B$13=1,g,g-SIN(F350)*E350/m)</f>
        <v>-9.81</v>
      </c>
      <c r="I350" s="4">
        <f t="shared" si="59"/>
        <v>0</v>
      </c>
      <c r="J350" s="4">
        <f t="shared" si="58"/>
        <v>0</v>
      </c>
      <c r="K350">
        <f t="shared" si="51"/>
        <v>0</v>
      </c>
      <c r="L350">
        <f t="shared" si="52"/>
        <v>-84.14445155823952</v>
      </c>
      <c r="M350">
        <f t="shared" si="53"/>
        <v>119538.32020480474</v>
      </c>
      <c r="N350">
        <f t="shared" si="54"/>
        <v>-1002016.4284001486</v>
      </c>
      <c r="O350">
        <f t="shared" si="55"/>
        <v>119538.32020480474</v>
      </c>
      <c r="P350">
        <f t="shared" si="56"/>
        <v>-839225.9652626504</v>
      </c>
    </row>
    <row r="351" spans="2:16" ht="15">
      <c r="B351">
        <f t="shared" si="57"/>
        <v>17.100000000000108</v>
      </c>
      <c r="C351">
        <f>IF(Eingabe_Ausgabe!$B$13=1,Berechnung!C350,C350+G350*B351)</f>
        <v>41.00026417135857</v>
      </c>
      <c r="D351">
        <f>IF(Eingabe_Ausgabe!$B$13=1,Berechnung!D350+dt*g,D350+H350*B351)</f>
        <v>-400.2750527945482</v>
      </c>
      <c r="E351">
        <f>0.5*roh_luft*Eingabe_Ausgabe!$B$7*(C351*C351+D351*D351)</f>
        <v>11461683.672212986</v>
      </c>
      <c r="F351">
        <f t="shared" si="50"/>
        <v>-1.4687220932837424</v>
      </c>
      <c r="G351">
        <f>IF(Eingabe_Ausgabe!$B$13=1,0,-COS(F351)*E351/m)</f>
        <v>0</v>
      </c>
      <c r="H351">
        <f>IF(Eingabe_Ausgabe!$B$13=1,g,g-SIN(F351)*E351/m)</f>
        <v>-9.81</v>
      </c>
      <c r="I351" s="4">
        <f t="shared" si="59"/>
        <v>0</v>
      </c>
      <c r="J351" s="4">
        <f t="shared" si="58"/>
        <v>0</v>
      </c>
      <c r="K351">
        <f t="shared" si="51"/>
        <v>0</v>
      </c>
      <c r="L351">
        <f t="shared" si="52"/>
        <v>-84.15157722277803</v>
      </c>
      <c r="M351">
        <f t="shared" si="53"/>
        <v>120239.42472213498</v>
      </c>
      <c r="N351">
        <f t="shared" si="54"/>
        <v>-1008861.1318029355</v>
      </c>
      <c r="O351">
        <f t="shared" si="55"/>
        <v>120239.42472213498</v>
      </c>
      <c r="P351">
        <f t="shared" si="56"/>
        <v>-844636.3976154372</v>
      </c>
    </row>
    <row r="352" spans="2:16" ht="15">
      <c r="B352">
        <f t="shared" si="57"/>
        <v>17.15000000000011</v>
      </c>
      <c r="C352">
        <f>IF(Eingabe_Ausgabe!$B$13=1,Berechnung!C351,C351+G351*B352)</f>
        <v>41.00026417135857</v>
      </c>
      <c r="D352">
        <f>IF(Eingabe_Ausgabe!$B$13=1,Berechnung!D351+dt*g,D351+H351*B352)</f>
        <v>-400.76555279454817</v>
      </c>
      <c r="E352">
        <f>0.5*roh_luft*Eingabe_Ausgabe!$B$7*(C352*C352+D352*D352)</f>
        <v>11489499.504294919</v>
      </c>
      <c r="F352">
        <f t="shared" si="50"/>
        <v>-1.4688461583226284</v>
      </c>
      <c r="G352">
        <f>IF(Eingabe_Ausgabe!$B$13=1,0,-COS(F352)*E352/m)</f>
        <v>0</v>
      </c>
      <c r="H352">
        <f>IF(Eingabe_Ausgabe!$B$13=1,g,g-SIN(F352)*E352/m)</f>
        <v>-9.81</v>
      </c>
      <c r="I352" s="4">
        <f t="shared" si="59"/>
        <v>0</v>
      </c>
      <c r="J352" s="4">
        <f t="shared" si="58"/>
        <v>0</v>
      </c>
      <c r="K352">
        <f t="shared" si="51"/>
        <v>0</v>
      </c>
      <c r="L352">
        <f t="shared" si="52"/>
        <v>-84.15868562589132</v>
      </c>
      <c r="M352">
        <f t="shared" si="53"/>
        <v>120942.57925267378</v>
      </c>
      <c r="N352">
        <f t="shared" si="54"/>
        <v>-1015734.261033362</v>
      </c>
      <c r="O352">
        <f t="shared" si="55"/>
        <v>120942.57925267378</v>
      </c>
      <c r="P352">
        <f t="shared" si="56"/>
        <v>-850066.8559833637</v>
      </c>
    </row>
    <row r="353" spans="2:16" ht="15">
      <c r="B353">
        <f t="shared" si="57"/>
        <v>17.20000000000011</v>
      </c>
      <c r="C353">
        <f>IF(Eingabe_Ausgabe!$B$13=1,Berechnung!C352,C352+G352*B353)</f>
        <v>41.00026417135857</v>
      </c>
      <c r="D353">
        <f>IF(Eingabe_Ausgabe!$B$13=1,Berechnung!D352+dt*g,D352+H352*B353)</f>
        <v>-401.25605279454817</v>
      </c>
      <c r="E353">
        <f>0.5*roh_luft*Eingabe_Ausgabe!$B$7*(C353*C353+D353*D353)</f>
        <v>11517349.401230844</v>
      </c>
      <c r="F353">
        <f t="shared" si="50"/>
        <v>-1.4689699231823852</v>
      </c>
      <c r="G353">
        <f>IF(Eingabe_Ausgabe!$B$13=1,0,-COS(F353)*E353/m)</f>
        <v>0</v>
      </c>
      <c r="H353">
        <f>IF(Eingabe_Ausgabe!$B$13=1,g,g-SIN(F353)*E353/m)</f>
        <v>-9.81</v>
      </c>
      <c r="I353" s="4">
        <f t="shared" si="59"/>
        <v>0</v>
      </c>
      <c r="J353" s="4">
        <f t="shared" si="58"/>
        <v>0</v>
      </c>
      <c r="K353">
        <f t="shared" si="51"/>
        <v>0</v>
      </c>
      <c r="L353">
        <f t="shared" si="52"/>
        <v>-84.16577683000742</v>
      </c>
      <c r="M353">
        <f t="shared" si="53"/>
        <v>121647.78379642115</v>
      </c>
      <c r="N353">
        <f t="shared" si="54"/>
        <v>-1022635.8651414283</v>
      </c>
      <c r="O353">
        <f t="shared" si="55"/>
        <v>121647.78379642115</v>
      </c>
      <c r="P353">
        <f t="shared" si="56"/>
        <v>-855517.3648914299</v>
      </c>
    </row>
    <row r="354" spans="2:16" ht="15">
      <c r="B354">
        <f t="shared" si="57"/>
        <v>17.25000000000011</v>
      </c>
      <c r="C354">
        <f>IF(Eingabe_Ausgabe!$B$13=1,Berechnung!C353,C353+G353*B354)</f>
        <v>41.00026417135857</v>
      </c>
      <c r="D354">
        <f>IF(Eingabe_Ausgabe!$B$13=1,Berechnung!D353+dt*g,D353+H353*B354)</f>
        <v>-401.74655279454817</v>
      </c>
      <c r="E354">
        <f>0.5*roh_luft*Eingabe_Ausgabe!$B$7*(C354*C354+D354*D354)</f>
        <v>11545233.363020765</v>
      </c>
      <c r="F354">
        <f t="shared" si="50"/>
        <v>-1.4690933889473567</v>
      </c>
      <c r="G354">
        <f>IF(Eingabe_Ausgabe!$B$13=1,0,-COS(F354)*E354/m)</f>
        <v>0</v>
      </c>
      <c r="H354">
        <f>IF(Eingabe_Ausgabe!$B$13=1,g,g-SIN(F354)*E354/m)</f>
        <v>-9.81</v>
      </c>
      <c r="I354" s="4">
        <f t="shared" si="59"/>
        <v>0</v>
      </c>
      <c r="J354" s="4">
        <f t="shared" si="58"/>
        <v>0</v>
      </c>
      <c r="K354">
        <f t="shared" si="51"/>
        <v>0</v>
      </c>
      <c r="L354">
        <f t="shared" si="52"/>
        <v>-84.17285089725465</v>
      </c>
      <c r="M354">
        <f t="shared" si="53"/>
        <v>122355.0383533771</v>
      </c>
      <c r="N354">
        <f t="shared" si="54"/>
        <v>-1029565.9931771343</v>
      </c>
      <c r="O354">
        <f t="shared" si="55"/>
        <v>122355.0383533771</v>
      </c>
      <c r="P354">
        <f t="shared" si="56"/>
        <v>-860987.9488646359</v>
      </c>
    </row>
    <row r="355" spans="2:16" ht="15">
      <c r="B355">
        <f t="shared" si="57"/>
        <v>17.30000000000011</v>
      </c>
      <c r="C355">
        <f>IF(Eingabe_Ausgabe!$B$13=1,Berechnung!C354,C354+G354*B355)</f>
        <v>41.00026417135857</v>
      </c>
      <c r="D355">
        <f>IF(Eingabe_Ausgabe!$B$13=1,Berechnung!D354+dt*g,D354+H354*B355)</f>
        <v>-402.23705279454816</v>
      </c>
      <c r="E355">
        <f>0.5*roh_luft*Eingabe_Ausgabe!$B$7*(C355*C355+D355*D355)</f>
        <v>11573151.389664676</v>
      </c>
      <c r="F355">
        <f t="shared" si="50"/>
        <v>-1.4692165566966897</v>
      </c>
      <c r="G355">
        <f>IF(Eingabe_Ausgabe!$B$13=1,0,-COS(F355)*E355/m)</f>
        <v>0</v>
      </c>
      <c r="H355">
        <f>IF(Eingabe_Ausgabe!$B$13=1,g,g-SIN(F355)*E355/m)</f>
        <v>-9.81</v>
      </c>
      <c r="I355" s="4">
        <f t="shared" si="59"/>
        <v>0</v>
      </c>
      <c r="J355" s="4">
        <f t="shared" si="58"/>
        <v>0</v>
      </c>
      <c r="K355">
        <f t="shared" si="51"/>
        <v>0</v>
      </c>
      <c r="L355">
        <f t="shared" si="52"/>
        <v>-84.17990788946355</v>
      </c>
      <c r="M355">
        <f t="shared" si="53"/>
        <v>123064.3429235416</v>
      </c>
      <c r="N355">
        <f t="shared" si="54"/>
        <v>-1036524.69419048</v>
      </c>
      <c r="O355">
        <f t="shared" si="55"/>
        <v>123064.3429235416</v>
      </c>
      <c r="P355">
        <f t="shared" si="56"/>
        <v>-866478.6324279817</v>
      </c>
    </row>
    <row r="356" spans="2:16" ht="15">
      <c r="B356">
        <f t="shared" si="57"/>
        <v>17.35000000000011</v>
      </c>
      <c r="C356">
        <f>IF(Eingabe_Ausgabe!$B$13=1,Berechnung!C355,C355+G355*B356)</f>
        <v>41.00026417135857</v>
      </c>
      <c r="D356">
        <f>IF(Eingabe_Ausgabe!$B$13=1,Berechnung!D355+dt*g,D355+H355*B356)</f>
        <v>-402.72755279454816</v>
      </c>
      <c r="E356">
        <f>0.5*roh_luft*Eingabe_Ausgabe!$B$7*(C356*C356+D356*D356)</f>
        <v>11601103.481162583</v>
      </c>
      <c r="F356">
        <f t="shared" si="50"/>
        <v>-1.4693394275043636</v>
      </c>
      <c r="G356">
        <f>IF(Eingabe_Ausgabe!$B$13=1,0,-COS(F356)*E356/m)</f>
        <v>0</v>
      </c>
      <c r="H356">
        <f>IF(Eingabe_Ausgabe!$B$13=1,g,g-SIN(F356)*E356/m)</f>
        <v>-9.81</v>
      </c>
      <c r="I356" s="4">
        <f t="shared" si="59"/>
        <v>0</v>
      </c>
      <c r="J356" s="4">
        <f t="shared" si="58"/>
        <v>0</v>
      </c>
      <c r="K356">
        <f t="shared" si="51"/>
        <v>0</v>
      </c>
      <c r="L356">
        <f t="shared" si="52"/>
        <v>-84.18694786816863</v>
      </c>
      <c r="M356">
        <f t="shared" si="53"/>
        <v>123775.69750691467</v>
      </c>
      <c r="N356">
        <f t="shared" si="54"/>
        <v>-1043512.0172314656</v>
      </c>
      <c r="O356">
        <f t="shared" si="55"/>
        <v>123775.69750691467</v>
      </c>
      <c r="P356">
        <f t="shared" si="56"/>
        <v>-871989.4401064671</v>
      </c>
    </row>
    <row r="357" spans="2:16" ht="15">
      <c r="B357">
        <f t="shared" si="57"/>
        <v>17.400000000000112</v>
      </c>
      <c r="C357">
        <f>IF(Eingabe_Ausgabe!$B$13=1,Berechnung!C356,C356+G356*B357)</f>
        <v>41.00026417135857</v>
      </c>
      <c r="D357">
        <f>IF(Eingabe_Ausgabe!$B$13=1,Berechnung!D356+dt*g,D356+H356*B357)</f>
        <v>-403.21805279454816</v>
      </c>
      <c r="E357">
        <f>0.5*roh_luft*Eingabe_Ausgabe!$B$7*(C357*C357+D357*D357)</f>
        <v>11629089.637514485</v>
      </c>
      <c r="F357">
        <f t="shared" si="50"/>
        <v>-1.4694620024392209</v>
      </c>
      <c r="G357">
        <f>IF(Eingabe_Ausgabe!$B$13=1,0,-COS(F357)*E357/m)</f>
        <v>0</v>
      </c>
      <c r="H357">
        <f>IF(Eingabe_Ausgabe!$B$13=1,g,g-SIN(F357)*E357/m)</f>
        <v>-9.81</v>
      </c>
      <c r="I357" s="4">
        <f t="shared" si="59"/>
        <v>0</v>
      </c>
      <c r="J357" s="4">
        <f t="shared" si="58"/>
        <v>0</v>
      </c>
      <c r="K357">
        <f t="shared" si="51"/>
        <v>0</v>
      </c>
      <c r="L357">
        <f t="shared" si="52"/>
        <v>-84.19397089461003</v>
      </c>
      <c r="M357">
        <f t="shared" si="53"/>
        <v>124489.10210349632</v>
      </c>
      <c r="N357">
        <f t="shared" si="54"/>
        <v>-1050528.0113500908</v>
      </c>
      <c r="O357">
        <f t="shared" si="55"/>
        <v>124489.10210349632</v>
      </c>
      <c r="P357">
        <f t="shared" si="56"/>
        <v>-877520.3964250924</v>
      </c>
    </row>
    <row r="358" spans="2:16" ht="15">
      <c r="B358">
        <f t="shared" si="57"/>
        <v>17.450000000000113</v>
      </c>
      <c r="C358">
        <f>IF(Eingabe_Ausgabe!$B$13=1,Berechnung!C357,C357+G357*B358)</f>
        <v>41.00026417135857</v>
      </c>
      <c r="D358">
        <f>IF(Eingabe_Ausgabe!$B$13=1,Berechnung!D357+dt*g,D357+H357*B358)</f>
        <v>-403.70855279454815</v>
      </c>
      <c r="E358">
        <f>0.5*roh_luft*Eingabe_Ausgabe!$B$7*(C358*C358+D358*D358)</f>
        <v>11657109.858720379</v>
      </c>
      <c r="F358">
        <f t="shared" si="50"/>
        <v>-1.469584282564999</v>
      </c>
      <c r="G358">
        <f>IF(Eingabe_Ausgabe!$B$13=1,0,-COS(F358)*E358/m)</f>
        <v>0</v>
      </c>
      <c r="H358">
        <f>IF(Eingabe_Ausgabe!$B$13=1,g,g-SIN(F358)*E358/m)</f>
        <v>-9.81</v>
      </c>
      <c r="I358" s="4">
        <f t="shared" si="59"/>
        <v>0</v>
      </c>
      <c r="J358" s="4">
        <f t="shared" si="58"/>
        <v>0</v>
      </c>
      <c r="K358">
        <f t="shared" si="51"/>
        <v>0</v>
      </c>
      <c r="L358">
        <f t="shared" si="52"/>
        <v>-84.20097702973545</v>
      </c>
      <c r="M358">
        <f t="shared" si="53"/>
        <v>125204.55671328653</v>
      </c>
      <c r="N358">
        <f t="shared" si="54"/>
        <v>-1057572.7255963557</v>
      </c>
      <c r="O358">
        <f t="shared" si="55"/>
        <v>125204.55671328653</v>
      </c>
      <c r="P358">
        <f t="shared" si="56"/>
        <v>-883071.5259088572</v>
      </c>
    </row>
    <row r="359" spans="2:16" ht="15">
      <c r="B359">
        <f t="shared" si="57"/>
        <v>17.500000000000114</v>
      </c>
      <c r="C359">
        <f>IF(Eingabe_Ausgabe!$B$13=1,Berechnung!C358,C358+G358*B359)</f>
        <v>41.00026417135857</v>
      </c>
      <c r="D359">
        <f>IF(Eingabe_Ausgabe!$B$13=1,Berechnung!D358+dt*g,D358+H358*B359)</f>
        <v>-404.19905279454815</v>
      </c>
      <c r="E359">
        <f>0.5*roh_luft*Eingabe_Ausgabe!$B$7*(C359*C359+D359*D359)</f>
        <v>11685164.144780267</v>
      </c>
      <c r="F359">
        <f t="shared" si="50"/>
        <v>-1.4697062689403593</v>
      </c>
      <c r="G359">
        <f>IF(Eingabe_Ausgabe!$B$13=1,0,-COS(F359)*E359/m)</f>
        <v>0</v>
      </c>
      <c r="H359">
        <f>IF(Eingabe_Ausgabe!$B$13=1,g,g-SIN(F359)*E359/m)</f>
        <v>-9.81</v>
      </c>
      <c r="I359" s="4">
        <f t="shared" si="59"/>
        <v>0</v>
      </c>
      <c r="J359" s="4">
        <f t="shared" si="58"/>
        <v>0</v>
      </c>
      <c r="K359">
        <f t="shared" si="51"/>
        <v>0</v>
      </c>
      <c r="L359">
        <f t="shared" si="52"/>
        <v>-84.2079663342017</v>
      </c>
      <c r="M359">
        <f t="shared" si="53"/>
        <v>125922.0613362853</v>
      </c>
      <c r="N359">
        <f t="shared" si="54"/>
        <v>-1064646.2090202605</v>
      </c>
      <c r="O359">
        <f t="shared" si="55"/>
        <v>125922.0613362853</v>
      </c>
      <c r="P359">
        <f t="shared" si="56"/>
        <v>-888642.8530827619</v>
      </c>
    </row>
    <row r="360" spans="2:16" ht="15">
      <c r="B360">
        <f t="shared" si="57"/>
        <v>17.550000000000114</v>
      </c>
      <c r="C360">
        <f>IF(Eingabe_Ausgabe!$B$13=1,Berechnung!C359,C359+G359*B360)</f>
        <v>41.00026417135857</v>
      </c>
      <c r="D360">
        <f>IF(Eingabe_Ausgabe!$B$13=1,Berechnung!D359+dt*g,D359+H359*B360)</f>
        <v>-404.68955279454815</v>
      </c>
      <c r="E360">
        <f>0.5*roh_luft*Eingabe_Ausgabe!$B$7*(C360*C360+D360*D360)</f>
        <v>11713252.49569415</v>
      </c>
      <c r="F360">
        <f t="shared" si="50"/>
        <v>-1.4698279626189186</v>
      </c>
      <c r="G360">
        <f>IF(Eingabe_Ausgabe!$B$13=1,0,-COS(F360)*E360/m)</f>
        <v>0</v>
      </c>
      <c r="H360">
        <f>IF(Eingabe_Ausgabe!$B$13=1,g,g-SIN(F360)*E360/m)</f>
        <v>-9.81</v>
      </c>
      <c r="I360" s="4">
        <f t="shared" si="59"/>
        <v>0</v>
      </c>
      <c r="J360" s="4">
        <f t="shared" si="58"/>
        <v>0</v>
      </c>
      <c r="K360">
        <f t="shared" si="51"/>
        <v>0</v>
      </c>
      <c r="L360">
        <f t="shared" si="52"/>
        <v>-84.21493886837656</v>
      </c>
      <c r="M360">
        <f t="shared" si="53"/>
        <v>126641.61597249265</v>
      </c>
      <c r="N360">
        <f t="shared" si="54"/>
        <v>-1071748.510671805</v>
      </c>
      <c r="O360">
        <f t="shared" si="55"/>
        <v>126641.61597249265</v>
      </c>
      <c r="P360">
        <f t="shared" si="56"/>
        <v>-894234.4024718063</v>
      </c>
    </row>
    <row r="361" spans="2:16" ht="15">
      <c r="B361">
        <f t="shared" si="57"/>
        <v>17.600000000000115</v>
      </c>
      <c r="C361">
        <f>IF(Eingabe_Ausgabe!$B$13=1,Berechnung!C360,C360+G360*B361)</f>
        <v>41.00026417135857</v>
      </c>
      <c r="D361">
        <f>IF(Eingabe_Ausgabe!$B$13=1,Berechnung!D360+dt*g,D360+H360*B361)</f>
        <v>-405.18005279454815</v>
      </c>
      <c r="E361">
        <f>0.5*roh_luft*Eingabe_Ausgabe!$B$7*(C361*C361+D361*D361)</f>
        <v>11741374.911462026</v>
      </c>
      <c r="F361">
        <f t="shared" si="50"/>
        <v>-1.4699493646492774</v>
      </c>
      <c r="G361">
        <f>IF(Eingabe_Ausgabe!$B$13=1,0,-COS(F361)*E361/m)</f>
        <v>0</v>
      </c>
      <c r="H361">
        <f>IF(Eingabe_Ausgabe!$B$13=1,g,g-SIN(F361)*E361/m)</f>
        <v>-9.81</v>
      </c>
      <c r="I361" s="4">
        <f t="shared" si="59"/>
        <v>0</v>
      </c>
      <c r="J361" s="4">
        <f t="shared" si="58"/>
        <v>0</v>
      </c>
      <c r="K361">
        <f t="shared" si="51"/>
        <v>0</v>
      </c>
      <c r="L361">
        <f t="shared" si="52"/>
        <v>-84.22189469234044</v>
      </c>
      <c r="M361">
        <f t="shared" si="53"/>
        <v>127363.22062190856</v>
      </c>
      <c r="N361">
        <f t="shared" si="54"/>
        <v>-1078879.679600989</v>
      </c>
      <c r="O361">
        <f t="shared" si="55"/>
        <v>127363.22062190856</v>
      </c>
      <c r="P361">
        <f t="shared" si="56"/>
        <v>-899846.1986009903</v>
      </c>
    </row>
    <row r="362" spans="2:16" ht="15">
      <c r="B362">
        <f t="shared" si="57"/>
        <v>17.650000000000116</v>
      </c>
      <c r="C362">
        <f>IF(Eingabe_Ausgabe!$B$13=1,Berechnung!C361,C361+G361*B362)</f>
        <v>41.00026417135857</v>
      </c>
      <c r="D362">
        <f>IF(Eingabe_Ausgabe!$B$13=1,Berechnung!D361+dt*g,D361+H361*B362)</f>
        <v>-405.67055279454814</v>
      </c>
      <c r="E362">
        <f>0.5*roh_luft*Eingabe_Ausgabe!$B$7*(C362*C362+D362*D362)</f>
        <v>11769531.392083893</v>
      </c>
      <c r="F362">
        <f t="shared" si="50"/>
        <v>-1.4700704760750511</v>
      </c>
      <c r="G362">
        <f>IF(Eingabe_Ausgabe!$B$13=1,0,-COS(F362)*E362/m)</f>
        <v>0</v>
      </c>
      <c r="H362">
        <f>IF(Eingabe_Ausgabe!$B$13=1,g,g-SIN(F362)*E362/m)</f>
        <v>-9.81</v>
      </c>
      <c r="I362" s="4">
        <f t="shared" si="59"/>
        <v>0</v>
      </c>
      <c r="J362" s="4">
        <f t="shared" si="58"/>
        <v>0</v>
      </c>
      <c r="K362">
        <f t="shared" si="51"/>
        <v>0</v>
      </c>
      <c r="L362">
        <f t="shared" si="52"/>
        <v>-84.22883386588809</v>
      </c>
      <c r="M362">
        <f t="shared" si="53"/>
        <v>128086.87528453305</v>
      </c>
      <c r="N362">
        <f t="shared" si="54"/>
        <v>-1086039.7648578128</v>
      </c>
      <c r="O362">
        <f t="shared" si="55"/>
        <v>128086.87528453305</v>
      </c>
      <c r="P362">
        <f t="shared" si="56"/>
        <v>-905478.2659953142</v>
      </c>
    </row>
    <row r="363" spans="2:16" ht="15">
      <c r="B363">
        <f t="shared" si="57"/>
        <v>17.700000000000117</v>
      </c>
      <c r="C363">
        <f>IF(Eingabe_Ausgabe!$B$13=1,Berechnung!C362,C362+G362*B363)</f>
        <v>41.00026417135857</v>
      </c>
      <c r="D363">
        <f>IF(Eingabe_Ausgabe!$B$13=1,Berechnung!D362+dt*g,D362+H362*B363)</f>
        <v>-406.16105279454814</v>
      </c>
      <c r="E363">
        <f>0.5*roh_luft*Eingabe_Ausgabe!$B$7*(C363*C363+D363*D363)</f>
        <v>11797721.937559756</v>
      </c>
      <c r="F363">
        <f t="shared" si="50"/>
        <v>-1.470191297934899</v>
      </c>
      <c r="G363">
        <f>IF(Eingabe_Ausgabe!$B$13=1,0,-COS(F363)*E363/m)</f>
        <v>0</v>
      </c>
      <c r="H363">
        <f>IF(Eingabe_Ausgabe!$B$13=1,g,g-SIN(F363)*E363/m)</f>
        <v>-9.81</v>
      </c>
      <c r="I363" s="4">
        <f t="shared" si="59"/>
        <v>0</v>
      </c>
      <c r="J363" s="4">
        <f t="shared" si="58"/>
        <v>0</v>
      </c>
      <c r="K363">
        <f t="shared" si="51"/>
        <v>0</v>
      </c>
      <c r="L363">
        <f t="shared" si="52"/>
        <v>-84.2357564485303</v>
      </c>
      <c r="M363">
        <f t="shared" si="53"/>
        <v>128812.5799603661</v>
      </c>
      <c r="N363">
        <f t="shared" si="54"/>
        <v>-1093228.8154922763</v>
      </c>
      <c r="O363">
        <f t="shared" si="55"/>
        <v>128812.5799603661</v>
      </c>
      <c r="P363">
        <f t="shared" si="56"/>
        <v>-911130.6291797777</v>
      </c>
    </row>
    <row r="364" spans="2:16" ht="15">
      <c r="B364">
        <f t="shared" si="57"/>
        <v>17.750000000000117</v>
      </c>
      <c r="C364">
        <f>IF(Eingabe_Ausgabe!$B$13=1,Berechnung!C363,C363+G363*B364)</f>
        <v>41.00026417135857</v>
      </c>
      <c r="D364">
        <f>IF(Eingabe_Ausgabe!$B$13=1,Berechnung!D363+dt*g,D363+H363*B364)</f>
        <v>-406.65155279454814</v>
      </c>
      <c r="E364">
        <f>0.5*roh_luft*Eingabe_Ausgabe!$B$7*(C364*C364+D364*D364)</f>
        <v>11825946.547889613</v>
      </c>
      <c r="F364">
        <f t="shared" si="50"/>
        <v>-1.4703118312625527</v>
      </c>
      <c r="G364">
        <f>IF(Eingabe_Ausgabe!$B$13=1,0,-COS(F364)*E364/m)</f>
        <v>0</v>
      </c>
      <c r="H364">
        <f>IF(Eingabe_Ausgabe!$B$13=1,g,g-SIN(F364)*E364/m)</f>
        <v>-9.81</v>
      </c>
      <c r="I364" s="4">
        <f t="shared" si="59"/>
        <v>0</v>
      </c>
      <c r="J364" s="4">
        <f t="shared" si="58"/>
        <v>0</v>
      </c>
      <c r="K364">
        <f t="shared" si="51"/>
        <v>0</v>
      </c>
      <c r="L364">
        <f t="shared" si="52"/>
        <v>-84.24266249949552</v>
      </c>
      <c r="M364">
        <f t="shared" si="53"/>
        <v>129540.33464940771</v>
      </c>
      <c r="N364">
        <f t="shared" si="54"/>
        <v>-1100446.8805543797</v>
      </c>
      <c r="O364">
        <f t="shared" si="55"/>
        <v>129540.33464940771</v>
      </c>
      <c r="P364">
        <f t="shared" si="56"/>
        <v>-916803.312679381</v>
      </c>
    </row>
    <row r="365" spans="2:16" ht="15">
      <c r="B365">
        <f t="shared" si="57"/>
        <v>17.800000000000118</v>
      </c>
      <c r="C365">
        <f>IF(Eingabe_Ausgabe!$B$13=1,Berechnung!C364,C364+G364*B365)</f>
        <v>41.00026417135857</v>
      </c>
      <c r="D365">
        <f>IF(Eingabe_Ausgabe!$B$13=1,Berechnung!D364+dt*g,D364+H364*B365)</f>
        <v>-407.14205279454814</v>
      </c>
      <c r="E365">
        <f>0.5*roh_luft*Eingabe_Ausgabe!$B$7*(C365*C365+D365*D365)</f>
        <v>11854205.223073464</v>
      </c>
      <c r="F365">
        <f t="shared" si="50"/>
        <v>-1.470432077086847</v>
      </c>
      <c r="G365">
        <f>IF(Eingabe_Ausgabe!$B$13=1,0,-COS(F365)*E365/m)</f>
        <v>0</v>
      </c>
      <c r="H365">
        <f>IF(Eingabe_Ausgabe!$B$13=1,g,g-SIN(F365)*E365/m)</f>
        <v>-9.81</v>
      </c>
      <c r="I365" s="4">
        <f t="shared" si="59"/>
        <v>0</v>
      </c>
      <c r="J365" s="4">
        <f t="shared" si="58"/>
        <v>0</v>
      </c>
      <c r="K365">
        <f t="shared" si="51"/>
        <v>0</v>
      </c>
      <c r="L365">
        <f t="shared" si="52"/>
        <v>-84.24955207773166</v>
      </c>
      <c r="M365">
        <f t="shared" si="53"/>
        <v>130270.1393516579</v>
      </c>
      <c r="N365">
        <f t="shared" si="54"/>
        <v>-1107694.0090941226</v>
      </c>
      <c r="O365">
        <f t="shared" si="55"/>
        <v>130270.1393516579</v>
      </c>
      <c r="P365">
        <f t="shared" si="56"/>
        <v>-922496.341019124</v>
      </c>
    </row>
    <row r="366" spans="2:16" ht="15">
      <c r="B366">
        <f t="shared" si="57"/>
        <v>17.85000000000012</v>
      </c>
      <c r="C366">
        <f>IF(Eingabe_Ausgabe!$B$13=1,Berechnung!C365,C365+G365*B366)</f>
        <v>41.00026417135857</v>
      </c>
      <c r="D366">
        <f>IF(Eingabe_Ausgabe!$B$13=1,Berechnung!D365+dt*g,D365+H365*B366)</f>
        <v>-407.63255279454813</v>
      </c>
      <c r="E366">
        <f>0.5*roh_luft*Eingabe_Ausgabe!$B$7*(C366*C366+D366*D366)</f>
        <v>11882497.963111307</v>
      </c>
      <c r="F366">
        <f t="shared" si="50"/>
        <v>-1.4705520364317468</v>
      </c>
      <c r="G366">
        <f>IF(Eingabe_Ausgabe!$B$13=1,0,-COS(F366)*E366/m)</f>
        <v>0</v>
      </c>
      <c r="H366">
        <f>IF(Eingabe_Ausgabe!$B$13=1,g,g-SIN(F366)*E366/m)</f>
        <v>-9.81</v>
      </c>
      <c r="I366" s="4">
        <f t="shared" si="59"/>
        <v>0</v>
      </c>
      <c r="J366" s="4">
        <f t="shared" si="58"/>
        <v>0</v>
      </c>
      <c r="K366">
        <f t="shared" si="51"/>
        <v>0</v>
      </c>
      <c r="L366">
        <f t="shared" si="52"/>
        <v>-84.25642524190756</v>
      </c>
      <c r="M366">
        <f t="shared" si="53"/>
        <v>131001.99406711666</v>
      </c>
      <c r="N366">
        <f t="shared" si="54"/>
        <v>-1114970.2501615053</v>
      </c>
      <c r="O366">
        <f t="shared" si="55"/>
        <v>131001.99406711666</v>
      </c>
      <c r="P366">
        <f t="shared" si="56"/>
        <v>-928209.7387240068</v>
      </c>
    </row>
    <row r="367" spans="2:16" ht="15">
      <c r="B367">
        <f t="shared" si="57"/>
        <v>17.90000000000012</v>
      </c>
      <c r="C367">
        <f>IF(Eingabe_Ausgabe!$B$13=1,Berechnung!C366,C366+G366*B367)</f>
        <v>41.00026417135857</v>
      </c>
      <c r="D367">
        <f>IF(Eingabe_Ausgabe!$B$13=1,Berechnung!D366+dt*g,D366+H366*B367)</f>
        <v>-408.12305279454813</v>
      </c>
      <c r="E367">
        <f>0.5*roh_luft*Eingabe_Ausgabe!$B$7*(C367*C367+D367*D367)</f>
        <v>11910824.768003143</v>
      </c>
      <c r="F367">
        <f t="shared" si="50"/>
        <v>-1.4706717103163773</v>
      </c>
      <c r="G367">
        <f>IF(Eingabe_Ausgabe!$B$13=1,0,-COS(F367)*E367/m)</f>
        <v>0</v>
      </c>
      <c r="H367">
        <f>IF(Eingabe_Ausgabe!$B$13=1,g,g-SIN(F367)*E367/m)</f>
        <v>-9.81</v>
      </c>
      <c r="I367" s="4">
        <f t="shared" si="59"/>
        <v>0</v>
      </c>
      <c r="J367" s="4">
        <f t="shared" si="58"/>
        <v>0</v>
      </c>
      <c r="K367">
        <f t="shared" si="51"/>
        <v>0</v>
      </c>
      <c r="L367">
        <f t="shared" si="52"/>
        <v>-84.26328205041483</v>
      </c>
      <c r="M367">
        <f t="shared" si="53"/>
        <v>131735.89879578399</v>
      </c>
      <c r="N367">
        <f t="shared" si="54"/>
        <v>-1122275.6528065277</v>
      </c>
      <c r="O367">
        <f t="shared" si="55"/>
        <v>131735.89879578399</v>
      </c>
      <c r="P367">
        <f t="shared" si="56"/>
        <v>-933943.5303190293</v>
      </c>
    </row>
    <row r="368" spans="2:16" ht="15">
      <c r="B368">
        <f t="shared" si="57"/>
        <v>17.95000000000012</v>
      </c>
      <c r="C368">
        <f>IF(Eingabe_Ausgabe!$B$13=1,Berechnung!C367,C367+G367*B368)</f>
        <v>41.00026417135857</v>
      </c>
      <c r="D368">
        <f>IF(Eingabe_Ausgabe!$B$13=1,Berechnung!D367+dt*g,D367+H367*B368)</f>
        <v>-408.6135527945481</v>
      </c>
      <c r="E368">
        <f>0.5*roh_luft*Eingabe_Ausgabe!$B$7*(C368*C368+D368*D368)</f>
        <v>11939185.637748975</v>
      </c>
      <c r="F368">
        <f t="shared" si="50"/>
        <v>-1.4707910997550517</v>
      </c>
      <c r="G368">
        <f>IF(Eingabe_Ausgabe!$B$13=1,0,-COS(F368)*E368/m)</f>
        <v>0</v>
      </c>
      <c r="H368">
        <f>IF(Eingabe_Ausgabe!$B$13=1,g,g-SIN(F368)*E368/m)</f>
        <v>-9.81</v>
      </c>
      <c r="I368" s="4">
        <f t="shared" si="59"/>
        <v>0</v>
      </c>
      <c r="J368" s="4">
        <f t="shared" si="58"/>
        <v>0</v>
      </c>
      <c r="K368">
        <f t="shared" si="51"/>
        <v>0</v>
      </c>
      <c r="L368">
        <f t="shared" si="52"/>
        <v>-84.2701225613693</v>
      </c>
      <c r="M368">
        <f t="shared" si="53"/>
        <v>132471.8535376599</v>
      </c>
      <c r="N368">
        <f t="shared" si="54"/>
        <v>-1129610.26607919</v>
      </c>
      <c r="O368">
        <f t="shared" si="55"/>
        <v>132471.8535376599</v>
      </c>
      <c r="P368">
        <f t="shared" si="56"/>
        <v>-939697.7403291916</v>
      </c>
    </row>
    <row r="369" spans="2:16" ht="15">
      <c r="B369">
        <f t="shared" si="57"/>
        <v>18.00000000000012</v>
      </c>
      <c r="C369">
        <f>IF(Eingabe_Ausgabe!$B$13=1,Berechnung!C368,C368+G368*B369)</f>
        <v>41.00026417135857</v>
      </c>
      <c r="D369">
        <f>IF(Eingabe_Ausgabe!$B$13=1,Berechnung!D368+dt*g,D368+H368*B369)</f>
        <v>-409.1040527945481</v>
      </c>
      <c r="E369">
        <f>0.5*roh_luft*Eingabe_Ausgabe!$B$7*(C369*C369+D369*D369)</f>
        <v>11967580.5723488</v>
      </c>
      <c r="F369">
        <f t="shared" si="50"/>
        <v>-1.4709102057572996</v>
      </c>
      <c r="G369">
        <f>IF(Eingabe_Ausgabe!$B$13=1,0,-COS(F369)*E369/m)</f>
        <v>0</v>
      </c>
      <c r="H369">
        <f>IF(Eingabe_Ausgabe!$B$13=1,g,g-SIN(F369)*E369/m)</f>
        <v>-9.81</v>
      </c>
      <c r="I369" s="4">
        <f t="shared" si="59"/>
        <v>0</v>
      </c>
      <c r="J369" s="4">
        <f t="shared" si="58"/>
        <v>0</v>
      </c>
      <c r="K369">
        <f t="shared" si="51"/>
        <v>0</v>
      </c>
      <c r="L369">
        <f t="shared" si="52"/>
        <v>-84.2769468326128</v>
      </c>
      <c r="M369">
        <f t="shared" si="53"/>
        <v>133209.85829274435</v>
      </c>
      <c r="N369">
        <f t="shared" si="54"/>
        <v>-1136974.139029492</v>
      </c>
      <c r="O369">
        <f t="shared" si="55"/>
        <v>133209.85829274435</v>
      </c>
      <c r="P369">
        <f t="shared" si="56"/>
        <v>-945472.3932794934</v>
      </c>
    </row>
    <row r="370" spans="2:16" ht="15">
      <c r="B370">
        <f t="shared" si="57"/>
        <v>18.05000000000012</v>
      </c>
      <c r="C370">
        <f>IF(Eingabe_Ausgabe!$B$13=1,Berechnung!C369,C369+G369*B370)</f>
        <v>41.00026417135857</v>
      </c>
      <c r="D370">
        <f>IF(Eingabe_Ausgabe!$B$13=1,Berechnung!D369+dt*g,D369+H369*B370)</f>
        <v>-409.5945527945481</v>
      </c>
      <c r="E370">
        <f>0.5*roh_luft*Eingabe_Ausgabe!$B$7*(C370*C370+D370*D370)</f>
        <v>11996009.571802616</v>
      </c>
      <c r="F370">
        <f t="shared" si="50"/>
        <v>-1.4710290293278947</v>
      </c>
      <c r="G370">
        <f>IF(Eingabe_Ausgabe!$B$13=1,0,-COS(F370)*E370/m)</f>
        <v>0</v>
      </c>
      <c r="H370">
        <f>IF(Eingabe_Ausgabe!$B$13=1,g,g-SIN(F370)*E370/m)</f>
        <v>-9.81</v>
      </c>
      <c r="I370" s="4">
        <f t="shared" si="59"/>
        <v>0</v>
      </c>
      <c r="J370" s="4">
        <f t="shared" si="58"/>
        <v>0</v>
      </c>
      <c r="K370">
        <f t="shared" si="51"/>
        <v>0</v>
      </c>
      <c r="L370">
        <f t="shared" si="52"/>
        <v>-84.28375492171456</v>
      </c>
      <c r="M370">
        <f t="shared" si="53"/>
        <v>133949.91306103737</v>
      </c>
      <c r="N370">
        <f t="shared" si="54"/>
        <v>-1144367.3207074336</v>
      </c>
      <c r="O370">
        <f t="shared" si="55"/>
        <v>133949.91306103737</v>
      </c>
      <c r="P370">
        <f t="shared" si="56"/>
        <v>-951267.5136949351</v>
      </c>
    </row>
    <row r="371" spans="2:16" ht="15">
      <c r="B371">
        <f t="shared" si="57"/>
        <v>18.100000000000122</v>
      </c>
      <c r="C371">
        <f>IF(Eingabe_Ausgabe!$B$13=1,Berechnung!C370,C370+G370*B371)</f>
        <v>41.00026417135857</v>
      </c>
      <c r="D371">
        <f>IF(Eingabe_Ausgabe!$B$13=1,Berechnung!D370+dt*g,D370+H370*B371)</f>
        <v>-410.0850527945481</v>
      </c>
      <c r="E371">
        <f>0.5*roh_luft*Eingabe_Ausgabe!$B$7*(C371*C371+D371*D371)</f>
        <v>12024472.636110429</v>
      </c>
      <c r="F371">
        <f t="shared" si="50"/>
        <v>-1.471147571466884</v>
      </c>
      <c r="G371">
        <f>IF(Eingabe_Ausgabe!$B$13=1,0,-COS(F371)*E371/m)</f>
        <v>0</v>
      </c>
      <c r="H371">
        <f>IF(Eingabe_Ausgabe!$B$13=1,g,g-SIN(F371)*E371/m)</f>
        <v>-9.81</v>
      </c>
      <c r="I371" s="4">
        <f t="shared" si="59"/>
        <v>0</v>
      </c>
      <c r="J371" s="4">
        <f t="shared" si="58"/>
        <v>0</v>
      </c>
      <c r="K371">
        <f t="shared" si="51"/>
        <v>0</v>
      </c>
      <c r="L371">
        <f t="shared" si="52"/>
        <v>-84.2905468859731</v>
      </c>
      <c r="M371">
        <f t="shared" si="53"/>
        <v>134692.01784253897</v>
      </c>
      <c r="N371">
        <f t="shared" si="54"/>
        <v>-1151789.860163015</v>
      </c>
      <c r="O371">
        <f t="shared" si="55"/>
        <v>134692.01784253897</v>
      </c>
      <c r="P371">
        <f t="shared" si="56"/>
        <v>-957083.1261005165</v>
      </c>
    </row>
    <row r="372" spans="2:16" ht="15">
      <c r="B372">
        <f t="shared" si="57"/>
        <v>18.150000000000123</v>
      </c>
      <c r="C372">
        <f>IF(Eingabe_Ausgabe!$B$13=1,Berechnung!C371,C371+G371*B372)</f>
        <v>41.00026417135857</v>
      </c>
      <c r="D372">
        <f>IF(Eingabe_Ausgabe!$B$13=1,Berechnung!D371+dt*g,D371+H371*B372)</f>
        <v>-410.5755527945481</v>
      </c>
      <c r="E372">
        <f>0.5*roh_luft*Eingabe_Ausgabe!$B$7*(C372*C372+D372*D372)</f>
        <v>12052969.765272235</v>
      </c>
      <c r="F372">
        <f t="shared" si="50"/>
        <v>-1.4712658331696138</v>
      </c>
      <c r="G372">
        <f>IF(Eingabe_Ausgabe!$B$13=1,0,-COS(F372)*E372/m)</f>
        <v>0</v>
      </c>
      <c r="H372">
        <f>IF(Eingabe_Ausgabe!$B$13=1,g,g-SIN(F372)*E372/m)</f>
        <v>-9.81</v>
      </c>
      <c r="I372" s="4">
        <f t="shared" si="59"/>
        <v>0</v>
      </c>
      <c r="J372" s="4">
        <f t="shared" si="58"/>
        <v>0</v>
      </c>
      <c r="K372">
        <f t="shared" si="51"/>
        <v>0</v>
      </c>
      <c r="L372">
        <f t="shared" si="52"/>
        <v>-84.29732278241755</v>
      </c>
      <c r="M372">
        <f t="shared" si="53"/>
        <v>135436.17263724914</v>
      </c>
      <c r="N372">
        <f t="shared" si="54"/>
        <v>-1159241.806446236</v>
      </c>
      <c r="O372">
        <f t="shared" si="55"/>
        <v>135436.17263724914</v>
      </c>
      <c r="P372">
        <f t="shared" si="56"/>
        <v>-962919.2550212377</v>
      </c>
    </row>
    <row r="373" spans="2:16" ht="15">
      <c r="B373">
        <f t="shared" si="57"/>
        <v>18.200000000000124</v>
      </c>
      <c r="C373">
        <f>IF(Eingabe_Ausgabe!$B$13=1,Berechnung!C372,C372+G372*B373)</f>
        <v>41.00026417135857</v>
      </c>
      <c r="D373">
        <f>IF(Eingabe_Ausgabe!$B$13=1,Berechnung!D372+dt*g,D372+H372*B373)</f>
        <v>-411.0660527945481</v>
      </c>
      <c r="E373">
        <f>0.5*roh_luft*Eingabe_Ausgabe!$B$7*(C373*C373+D373*D373)</f>
        <v>12081500.959288033</v>
      </c>
      <c r="F373">
        <f t="shared" si="50"/>
        <v>-1.4713838154267582</v>
      </c>
      <c r="G373">
        <f>IF(Eingabe_Ausgabe!$B$13=1,0,-COS(F373)*E373/m)</f>
        <v>0</v>
      </c>
      <c r="H373">
        <f>IF(Eingabe_Ausgabe!$B$13=1,g,g-SIN(F373)*E373/m)</f>
        <v>-9.81</v>
      </c>
      <c r="I373" s="4">
        <f t="shared" si="59"/>
        <v>0</v>
      </c>
      <c r="J373" s="4">
        <f t="shared" si="58"/>
        <v>0</v>
      </c>
      <c r="K373">
        <f t="shared" si="51"/>
        <v>0</v>
      </c>
      <c r="L373">
        <f t="shared" si="52"/>
        <v>-84.30408266780935</v>
      </c>
      <c r="M373">
        <f t="shared" si="53"/>
        <v>136182.37744516786</v>
      </c>
      <c r="N373">
        <f t="shared" si="54"/>
        <v>-1166723.208607097</v>
      </c>
      <c r="O373">
        <f t="shared" si="55"/>
        <v>136182.37744516786</v>
      </c>
      <c r="P373">
        <f t="shared" si="56"/>
        <v>-968775.9249820984</v>
      </c>
    </row>
    <row r="374" spans="2:16" ht="15">
      <c r="B374">
        <f t="shared" si="57"/>
        <v>18.250000000000124</v>
      </c>
      <c r="C374">
        <f>IF(Eingabe_Ausgabe!$B$13=1,Berechnung!C373,C373+G373*B374)</f>
        <v>41.00026417135857</v>
      </c>
      <c r="D374">
        <f>IF(Eingabe_Ausgabe!$B$13=1,Berechnung!D373+dt*g,D373+H373*B374)</f>
        <v>-411.5565527945481</v>
      </c>
      <c r="E374">
        <f>0.5*roh_luft*Eingabe_Ausgabe!$B$7*(C374*C374+D374*D374)</f>
        <v>12110066.218157826</v>
      </c>
      <c r="F374">
        <f t="shared" si="50"/>
        <v>-1.4715015192243461</v>
      </c>
      <c r="G374">
        <f>IF(Eingabe_Ausgabe!$B$13=1,0,-COS(F374)*E374/m)</f>
        <v>0</v>
      </c>
      <c r="H374">
        <f>IF(Eingabe_Ausgabe!$B$13=1,g,g-SIN(F374)*E374/m)</f>
        <v>-9.81</v>
      </c>
      <c r="I374" s="4">
        <f t="shared" si="59"/>
        <v>0</v>
      </c>
      <c r="J374" s="4">
        <f t="shared" si="58"/>
        <v>0</v>
      </c>
      <c r="K374">
        <f t="shared" si="51"/>
        <v>0</v>
      </c>
      <c r="L374">
        <f t="shared" si="52"/>
        <v>-84.3108265986438</v>
      </c>
      <c r="M374">
        <f t="shared" si="53"/>
        <v>136930.63226629517</v>
      </c>
      <c r="N374">
        <f t="shared" si="54"/>
        <v>-1174234.1156955974</v>
      </c>
      <c r="O374">
        <f t="shared" si="55"/>
        <v>136930.63226629517</v>
      </c>
      <c r="P374">
        <f t="shared" si="56"/>
        <v>-974653.160508099</v>
      </c>
    </row>
    <row r="375" spans="2:16" ht="15">
      <c r="B375">
        <f t="shared" si="57"/>
        <v>18.300000000000125</v>
      </c>
      <c r="C375">
        <f>IF(Eingabe_Ausgabe!$B$13=1,Berechnung!C374,C374+G374*B375)</f>
        <v>41.00026417135857</v>
      </c>
      <c r="D375">
        <f>IF(Eingabe_Ausgabe!$B$13=1,Berechnung!D374+dt*g,D374+H374*B375)</f>
        <v>-412.0470527945481</v>
      </c>
      <c r="E375">
        <f>0.5*roh_luft*Eingabe_Ausgabe!$B$7*(C375*C375+D375*D375)</f>
        <v>12138665.541881612</v>
      </c>
      <c r="F375">
        <f t="shared" si="50"/>
        <v>-1.4716189455437885</v>
      </c>
      <c r="G375">
        <f>IF(Eingabe_Ausgabe!$B$13=1,0,-COS(F375)*E375/m)</f>
        <v>0</v>
      </c>
      <c r="H375">
        <f>IF(Eingabe_Ausgabe!$B$13=1,g,g-SIN(F375)*E375/m)</f>
        <v>-9.81</v>
      </c>
      <c r="I375" s="4">
        <f t="shared" si="59"/>
        <v>0</v>
      </c>
      <c r="J375" s="4">
        <f t="shared" si="58"/>
        <v>0</v>
      </c>
      <c r="K375">
        <f t="shared" si="51"/>
        <v>0</v>
      </c>
      <c r="L375">
        <f t="shared" si="52"/>
        <v>-84.31755463115161</v>
      </c>
      <c r="M375">
        <f t="shared" si="53"/>
        <v>137680.93710063104</v>
      </c>
      <c r="N375">
        <f t="shared" si="54"/>
        <v>-1181774.5767617377</v>
      </c>
      <c r="O375">
        <f t="shared" si="55"/>
        <v>137680.93710063104</v>
      </c>
      <c r="P375">
        <f t="shared" si="56"/>
        <v>-980550.9861242394</v>
      </c>
    </row>
    <row r="376" spans="2:16" ht="15">
      <c r="B376">
        <f t="shared" si="57"/>
        <v>18.350000000000126</v>
      </c>
      <c r="C376">
        <f>IF(Eingabe_Ausgabe!$B$13=1,Berechnung!C375,C375+G375*B376)</f>
        <v>41.00026417135857</v>
      </c>
      <c r="D376">
        <f>IF(Eingabe_Ausgabe!$B$13=1,Berechnung!D375+dt*g,D375+H375*B376)</f>
        <v>-412.5375527945481</v>
      </c>
      <c r="E376">
        <f>0.5*roh_luft*Eingabe_Ausgabe!$B$7*(C376*C376+D376*D376)</f>
        <v>12167298.930459393</v>
      </c>
      <c r="F376">
        <f t="shared" si="50"/>
        <v>-1.4717360953619048</v>
      </c>
      <c r="G376">
        <f>IF(Eingabe_Ausgabe!$B$13=1,0,-COS(F376)*E376/m)</f>
        <v>0</v>
      </c>
      <c r="H376">
        <f>IF(Eingabe_Ausgabe!$B$13=1,g,g-SIN(F376)*E376/m)</f>
        <v>-9.81</v>
      </c>
      <c r="I376" s="4">
        <f t="shared" si="59"/>
        <v>0</v>
      </c>
      <c r="J376" s="4">
        <f t="shared" si="58"/>
        <v>0</v>
      </c>
      <c r="K376">
        <f t="shared" si="51"/>
        <v>0</v>
      </c>
      <c r="L376">
        <f t="shared" si="52"/>
        <v>-84.3242668213004</v>
      </c>
      <c r="M376">
        <f t="shared" si="53"/>
        <v>138433.29194817547</v>
      </c>
      <c r="N376">
        <f t="shared" si="54"/>
        <v>-1189344.6408555177</v>
      </c>
      <c r="O376">
        <f t="shared" si="55"/>
        <v>138433.29194817547</v>
      </c>
      <c r="P376">
        <f t="shared" si="56"/>
        <v>-986469.4263555194</v>
      </c>
    </row>
    <row r="377" spans="2:16" ht="15">
      <c r="B377">
        <f t="shared" si="57"/>
        <v>18.400000000000126</v>
      </c>
      <c r="C377">
        <f>IF(Eingabe_Ausgabe!$B$13=1,Berechnung!C376,C376+G376*B377)</f>
        <v>41.00026417135857</v>
      </c>
      <c r="D377">
        <f>IF(Eingabe_Ausgabe!$B$13=1,Berechnung!D376+dt*g,D376+H376*B377)</f>
        <v>-413.0280527945481</v>
      </c>
      <c r="E377">
        <f>0.5*roh_luft*Eingabe_Ausgabe!$B$7*(C377*C377+D377*D377)</f>
        <v>12195966.383891167</v>
      </c>
      <c r="F377">
        <f t="shared" si="50"/>
        <v>-1.4718529696509504</v>
      </c>
      <c r="G377">
        <f>IF(Eingabe_Ausgabe!$B$13=1,0,-COS(F377)*E377/m)</f>
        <v>0</v>
      </c>
      <c r="H377">
        <f>IF(Eingabe_Ausgabe!$B$13=1,g,g-SIN(F377)*E377/m)</f>
        <v>-9.81</v>
      </c>
      <c r="I377" s="4">
        <f t="shared" si="59"/>
        <v>0</v>
      </c>
      <c r="J377" s="4">
        <f t="shared" si="58"/>
        <v>0</v>
      </c>
      <c r="K377">
        <f t="shared" si="51"/>
        <v>0</v>
      </c>
      <c r="L377">
        <f t="shared" si="52"/>
        <v>-84.3309632247963</v>
      </c>
      <c r="M377">
        <f t="shared" si="53"/>
        <v>139187.69680892848</v>
      </c>
      <c r="N377">
        <f t="shared" si="54"/>
        <v>-1196944.3570269374</v>
      </c>
      <c r="O377">
        <f t="shared" si="55"/>
        <v>139187.69680892848</v>
      </c>
      <c r="P377">
        <f t="shared" si="56"/>
        <v>-992408.5057269392</v>
      </c>
    </row>
    <row r="378" spans="2:16" ht="15">
      <c r="B378">
        <f t="shared" si="57"/>
        <v>18.450000000000127</v>
      </c>
      <c r="C378">
        <f>IF(Eingabe_Ausgabe!$B$13=1,Berechnung!C377,C377+G377*B378)</f>
        <v>41.00026417135857</v>
      </c>
      <c r="D378">
        <f>IF(Eingabe_Ausgabe!$B$13=1,Berechnung!D377+dt*g,D377+H377*B378)</f>
        <v>-413.5185527945481</v>
      </c>
      <c r="E378">
        <f>0.5*roh_luft*Eingabe_Ausgabe!$B$7*(C378*C378+D378*D378)</f>
        <v>12224667.902176933</v>
      </c>
      <c r="F378">
        <f t="shared" si="50"/>
        <v>-1.4719695693786428</v>
      </c>
      <c r="G378">
        <f>IF(Eingabe_Ausgabe!$B$13=1,0,-COS(F378)*E378/m)</f>
        <v>0</v>
      </c>
      <c r="H378">
        <f>IF(Eingabe_Ausgabe!$B$13=1,g,g-SIN(F378)*E378/m)</f>
        <v>-9.81</v>
      </c>
      <c r="I378" s="4">
        <f t="shared" si="59"/>
        <v>0</v>
      </c>
      <c r="J378" s="4">
        <f t="shared" si="58"/>
        <v>0</v>
      </c>
      <c r="K378">
        <f t="shared" si="51"/>
        <v>0</v>
      </c>
      <c r="L378">
        <f t="shared" si="52"/>
        <v>-84.33764389708544</v>
      </c>
      <c r="M378">
        <f t="shared" si="53"/>
        <v>139944.15168289005</v>
      </c>
      <c r="N378">
        <f t="shared" si="54"/>
        <v>-1204573.7743259969</v>
      </c>
      <c r="O378">
        <f t="shared" si="55"/>
        <v>139944.15168289005</v>
      </c>
      <c r="P378">
        <f t="shared" si="56"/>
        <v>-998368.2487634986</v>
      </c>
    </row>
    <row r="379" spans="2:16" ht="15">
      <c r="B379">
        <f t="shared" si="57"/>
        <v>18.500000000000128</v>
      </c>
      <c r="C379">
        <f>IF(Eingabe_Ausgabe!$B$13=1,Berechnung!C378,C378+G378*B379)</f>
        <v>41.00026417135857</v>
      </c>
      <c r="D379">
        <f>IF(Eingabe_Ausgabe!$B$13=1,Berechnung!D378+dt*g,D378+H378*B379)</f>
        <v>-414.0090527945481</v>
      </c>
      <c r="E379">
        <f>0.5*roh_luft*Eingabe_Ausgabe!$B$7*(C379*C379+D379*D379)</f>
        <v>12253403.485316694</v>
      </c>
      <c r="F379">
        <f t="shared" si="50"/>
        <v>-1.4720858955081877</v>
      </c>
      <c r="G379">
        <f>IF(Eingabe_Ausgabe!$B$13=1,0,-COS(F379)*E379/m)</f>
        <v>0</v>
      </c>
      <c r="H379">
        <f>IF(Eingabe_Ausgabe!$B$13=1,g,g-SIN(F379)*E379/m)</f>
        <v>-9.81</v>
      </c>
      <c r="I379" s="4">
        <f t="shared" si="59"/>
        <v>0</v>
      </c>
      <c r="J379" s="4">
        <f t="shared" si="58"/>
        <v>0</v>
      </c>
      <c r="K379">
        <f t="shared" si="51"/>
        <v>0</v>
      </c>
      <c r="L379">
        <f t="shared" si="52"/>
        <v>-84.34430889335546</v>
      </c>
      <c r="M379">
        <f t="shared" si="53"/>
        <v>140702.65657006018</v>
      </c>
      <c r="N379">
        <f t="shared" si="54"/>
        <v>-1212232.941802696</v>
      </c>
      <c r="O379">
        <f t="shared" si="55"/>
        <v>140702.65657006018</v>
      </c>
      <c r="P379">
        <f t="shared" si="56"/>
        <v>-1004348.6799901979</v>
      </c>
    </row>
    <row r="380" spans="2:16" ht="15">
      <c r="B380">
        <f t="shared" si="57"/>
        <v>18.55000000000013</v>
      </c>
      <c r="C380">
        <f>IF(Eingabe_Ausgabe!$B$13=1,Berechnung!C379,C379+G379*B380)</f>
        <v>41.00026417135857</v>
      </c>
      <c r="D380">
        <f>IF(Eingabe_Ausgabe!$B$13=1,Berechnung!D379+dt*g,D379+H379*B380)</f>
        <v>-414.4995527945481</v>
      </c>
      <c r="E380">
        <f>0.5*roh_luft*Eingabe_Ausgabe!$B$7*(C380*C380+D380*D380)</f>
        <v>12282173.13331045</v>
      </c>
      <c r="F380">
        <f t="shared" si="50"/>
        <v>-1.4722019489983054</v>
      </c>
      <c r="G380">
        <f>IF(Eingabe_Ausgabe!$B$13=1,0,-COS(F380)*E380/m)</f>
        <v>0</v>
      </c>
      <c r="H380">
        <f>IF(Eingabe_Ausgabe!$B$13=1,g,g-SIN(F380)*E380/m)</f>
        <v>-9.81</v>
      </c>
      <c r="I380" s="4">
        <f t="shared" si="59"/>
        <v>0</v>
      </c>
      <c r="J380" s="4">
        <f t="shared" si="58"/>
        <v>0</v>
      </c>
      <c r="K380">
        <f t="shared" si="51"/>
        <v>0</v>
      </c>
      <c r="L380">
        <f t="shared" si="52"/>
        <v>-84.35095826853697</v>
      </c>
      <c r="M380">
        <f t="shared" si="53"/>
        <v>141463.2114704389</v>
      </c>
      <c r="N380">
        <f t="shared" si="54"/>
        <v>-1219921.908507035</v>
      </c>
      <c r="O380">
        <f t="shared" si="55"/>
        <v>141463.2114704389</v>
      </c>
      <c r="P380">
        <f t="shared" si="56"/>
        <v>-1010349.8239320369</v>
      </c>
    </row>
    <row r="381" spans="2:16" ht="15">
      <c r="B381">
        <f t="shared" si="57"/>
        <v>18.60000000000013</v>
      </c>
      <c r="C381">
        <f>IF(Eingabe_Ausgabe!$B$13=1,Berechnung!C380,C380+G380*B381)</f>
        <v>41.00026417135857</v>
      </c>
      <c r="D381">
        <f>IF(Eingabe_Ausgabe!$B$13=1,Berechnung!D380+dt*g,D380+H380*B381)</f>
        <v>-414.9900527945481</v>
      </c>
      <c r="E381">
        <f>0.5*roh_luft*Eingabe_Ausgabe!$B$7*(C381*C381+D381*D381)</f>
        <v>12310976.846158199</v>
      </c>
      <c r="F381">
        <f t="shared" si="50"/>
        <v>-1.4723177308032576</v>
      </c>
      <c r="G381">
        <f>IF(Eingabe_Ausgabe!$B$13=1,0,-COS(F381)*E381/m)</f>
        <v>0</v>
      </c>
      <c r="H381">
        <f>IF(Eingabe_Ausgabe!$B$13=1,g,g-SIN(F381)*E381/m)</f>
        <v>-9.81</v>
      </c>
      <c r="I381" s="4">
        <f t="shared" si="59"/>
        <v>0</v>
      </c>
      <c r="J381" s="4">
        <f t="shared" si="58"/>
        <v>0</v>
      </c>
      <c r="K381">
        <f t="shared" si="51"/>
        <v>0</v>
      </c>
      <c r="L381">
        <f t="shared" si="52"/>
        <v>-84.35759207730514</v>
      </c>
      <c r="M381">
        <f t="shared" si="53"/>
        <v>142225.81638402617</v>
      </c>
      <c r="N381">
        <f t="shared" si="54"/>
        <v>-1227640.7234890137</v>
      </c>
      <c r="O381">
        <f t="shared" si="55"/>
        <v>142225.81638402617</v>
      </c>
      <c r="P381">
        <f t="shared" si="56"/>
        <v>-1016371.7051140155</v>
      </c>
    </row>
    <row r="382" spans="2:16" ht="15">
      <c r="B382">
        <f t="shared" si="57"/>
        <v>18.65000000000013</v>
      </c>
      <c r="C382">
        <f>IF(Eingabe_Ausgabe!$B$13=1,Berechnung!C381,C381+G381*B382)</f>
        <v>41.00026417135857</v>
      </c>
      <c r="D382">
        <f>IF(Eingabe_Ausgabe!$B$13=1,Berechnung!D381+dt*g,D381+H381*B382)</f>
        <v>-415.4805527945481</v>
      </c>
      <c r="E382">
        <f>0.5*roh_luft*Eingabe_Ausgabe!$B$7*(C382*C382+D382*D382)</f>
        <v>12339814.62385994</v>
      </c>
      <c r="F382">
        <f t="shared" si="50"/>
        <v>-1.4724332418728712</v>
      </c>
      <c r="G382">
        <f>IF(Eingabe_Ausgabe!$B$13=1,0,-COS(F382)*E382/m)</f>
        <v>0</v>
      </c>
      <c r="H382">
        <f>IF(Eingabe_Ausgabe!$B$13=1,g,g-SIN(F382)*E382/m)</f>
        <v>-9.81</v>
      </c>
      <c r="I382" s="4">
        <f t="shared" si="59"/>
        <v>0</v>
      </c>
      <c r="J382" s="4">
        <f t="shared" si="58"/>
        <v>0</v>
      </c>
      <c r="K382">
        <f t="shared" si="51"/>
        <v>0</v>
      </c>
      <c r="L382">
        <f t="shared" si="52"/>
        <v>-84.36421037408104</v>
      </c>
      <c r="M382">
        <f t="shared" si="53"/>
        <v>142990.471310822</v>
      </c>
      <c r="N382">
        <f t="shared" si="54"/>
        <v>-1235389.4357986322</v>
      </c>
      <c r="O382">
        <f t="shared" si="55"/>
        <v>142990.471310822</v>
      </c>
      <c r="P382">
        <f t="shared" si="56"/>
        <v>-1022414.3480611339</v>
      </c>
    </row>
    <row r="383" spans="2:16" ht="15">
      <c r="B383">
        <f t="shared" si="57"/>
        <v>18.70000000000013</v>
      </c>
      <c r="C383">
        <f>IF(Eingabe_Ausgabe!$B$13=1,Berechnung!C382,C382+G382*B383)</f>
        <v>41.00026417135857</v>
      </c>
      <c r="D383">
        <f>IF(Eingabe_Ausgabe!$B$13=1,Berechnung!D382+dt*g,D382+H382*B383)</f>
        <v>-415.9710527945481</v>
      </c>
      <c r="E383">
        <f>0.5*roh_luft*Eingabe_Ausgabe!$B$7*(C383*C383+D383*D383)</f>
        <v>12368686.466415673</v>
      </c>
      <c r="F383">
        <f t="shared" si="50"/>
        <v>-1.4725484831525664</v>
      </c>
      <c r="G383">
        <f>IF(Eingabe_Ausgabe!$B$13=1,0,-COS(F383)*E383/m)</f>
        <v>0</v>
      </c>
      <c r="H383">
        <f>IF(Eingabe_Ausgabe!$B$13=1,g,g-SIN(F383)*E383/m)</f>
        <v>-9.81</v>
      </c>
      <c r="I383" s="4">
        <f t="shared" si="59"/>
        <v>0</v>
      </c>
      <c r="J383" s="4">
        <f t="shared" si="58"/>
        <v>0</v>
      </c>
      <c r="K383">
        <f t="shared" si="51"/>
        <v>0</v>
      </c>
      <c r="L383">
        <f t="shared" si="52"/>
        <v>-84.37081321303326</v>
      </c>
      <c r="M383">
        <f t="shared" si="53"/>
        <v>143757.17625082642</v>
      </c>
      <c r="N383">
        <f t="shared" si="54"/>
        <v>-1243168.0944858904</v>
      </c>
      <c r="O383">
        <f t="shared" si="55"/>
        <v>143757.17625082642</v>
      </c>
      <c r="P383">
        <f t="shared" si="56"/>
        <v>-1028477.7772983919</v>
      </c>
    </row>
    <row r="384" spans="2:16" ht="15">
      <c r="B384">
        <f t="shared" si="57"/>
        <v>18.75000000000013</v>
      </c>
      <c r="C384">
        <f>IF(Eingabe_Ausgabe!$B$13=1,Berechnung!C383,C383+G383*B384)</f>
        <v>41.00026417135857</v>
      </c>
      <c r="D384">
        <f>IF(Eingabe_Ausgabe!$B$13=1,Berechnung!D383+dt*g,D383+H383*B384)</f>
        <v>-416.4615527945481</v>
      </c>
      <c r="E384">
        <f>0.5*roh_luft*Eingabe_Ausgabe!$B$7*(C384*C384+D384*D384)</f>
        <v>12397592.373825403</v>
      </c>
      <c r="F384">
        <f t="shared" si="50"/>
        <v>-1.47266345558338</v>
      </c>
      <c r="G384">
        <f>IF(Eingabe_Ausgabe!$B$13=1,0,-COS(F384)*E384/m)</f>
        <v>0</v>
      </c>
      <c r="H384">
        <f>IF(Eingabe_Ausgabe!$B$13=1,g,g-SIN(F384)*E384/m)</f>
        <v>-9.81</v>
      </c>
      <c r="I384" s="4">
        <f t="shared" si="59"/>
        <v>0</v>
      </c>
      <c r="J384" s="4">
        <f t="shared" si="58"/>
        <v>0</v>
      </c>
      <c r="K384">
        <f t="shared" si="51"/>
        <v>0</v>
      </c>
      <c r="L384">
        <f t="shared" si="52"/>
        <v>-84.37740064807925</v>
      </c>
      <c r="M384">
        <f t="shared" si="53"/>
        <v>144525.9312040394</v>
      </c>
      <c r="N384">
        <f t="shared" si="54"/>
        <v>-1250976.7486007882</v>
      </c>
      <c r="O384">
        <f t="shared" si="55"/>
        <v>144525.9312040394</v>
      </c>
      <c r="P384">
        <f t="shared" si="56"/>
        <v>-1034562.0173507897</v>
      </c>
    </row>
    <row r="385" spans="2:16" ht="15">
      <c r="B385">
        <f t="shared" si="57"/>
        <v>18.800000000000132</v>
      </c>
      <c r="C385">
        <f>IF(Eingabe_Ausgabe!$B$13=1,Berechnung!C384,C384+G384*B385)</f>
        <v>41.00026417135857</v>
      </c>
      <c r="D385">
        <f>IF(Eingabe_Ausgabe!$B$13=1,Berechnung!D384+dt*g,D384+H384*B385)</f>
        <v>-416.9520527945481</v>
      </c>
      <c r="E385">
        <f>0.5*roh_luft*Eingabe_Ausgabe!$B$7*(C385*C385+D385*D385)</f>
        <v>12426532.346089127</v>
      </c>
      <c r="F385">
        <f t="shared" si="50"/>
        <v>-1.472778160101992</v>
      </c>
      <c r="G385">
        <f>IF(Eingabe_Ausgabe!$B$13=1,0,-COS(F385)*E385/m)</f>
        <v>0</v>
      </c>
      <c r="H385">
        <f>IF(Eingabe_Ausgabe!$B$13=1,g,g-SIN(F385)*E385/m)</f>
        <v>-9.81</v>
      </c>
      <c r="I385" s="4">
        <f t="shared" si="59"/>
        <v>0</v>
      </c>
      <c r="J385" s="4">
        <f t="shared" si="58"/>
        <v>0</v>
      </c>
      <c r="K385">
        <f t="shared" si="51"/>
        <v>0</v>
      </c>
      <c r="L385">
        <f t="shared" si="52"/>
        <v>-84.38397273288679</v>
      </c>
      <c r="M385">
        <f t="shared" si="53"/>
        <v>145296.73617046094</v>
      </c>
      <c r="N385">
        <f t="shared" si="54"/>
        <v>-1258815.4471933257</v>
      </c>
      <c r="O385">
        <f t="shared" si="55"/>
        <v>145296.73617046094</v>
      </c>
      <c r="P385">
        <f t="shared" si="56"/>
        <v>-1040667.0927433274</v>
      </c>
    </row>
    <row r="386" spans="2:16" ht="15">
      <c r="B386">
        <f t="shared" si="57"/>
        <v>18.850000000000133</v>
      </c>
      <c r="C386">
        <f>IF(Eingabe_Ausgabe!$B$13=1,Berechnung!C385,C385+G385*B386)</f>
        <v>41.00026417135857</v>
      </c>
      <c r="D386">
        <f>IF(Eingabe_Ausgabe!$B$13=1,Berechnung!D385+dt*g,D385+H385*B386)</f>
        <v>-417.4425527945481</v>
      </c>
      <c r="E386">
        <f>0.5*roh_luft*Eingabe_Ausgabe!$B$7*(C386*C386+D386*D386)</f>
        <v>12455506.383206844</v>
      </c>
      <c r="F386">
        <f t="shared" si="50"/>
        <v>-1.4728925976407505</v>
      </c>
      <c r="G386">
        <f>IF(Eingabe_Ausgabe!$B$13=1,0,-COS(F386)*E386/m)</f>
        <v>0</v>
      </c>
      <c r="H386">
        <f>IF(Eingabe_Ausgabe!$B$13=1,g,g-SIN(F386)*E386/m)</f>
        <v>-9.81</v>
      </c>
      <c r="I386" s="4">
        <f t="shared" si="59"/>
        <v>0</v>
      </c>
      <c r="J386" s="4">
        <f t="shared" si="58"/>
        <v>0</v>
      </c>
      <c r="K386">
        <f t="shared" si="51"/>
        <v>0</v>
      </c>
      <c r="L386">
        <f t="shared" si="52"/>
        <v>-84.39052952087552</v>
      </c>
      <c r="M386">
        <f t="shared" si="53"/>
        <v>146069.59115009106</v>
      </c>
      <c r="N386">
        <f t="shared" si="54"/>
        <v>-1266684.239313503</v>
      </c>
      <c r="O386">
        <f t="shared" si="55"/>
        <v>146069.59115009106</v>
      </c>
      <c r="P386">
        <f t="shared" si="56"/>
        <v>-1046793.0280010047</v>
      </c>
    </row>
    <row r="387" spans="2:16" ht="15">
      <c r="B387">
        <f t="shared" si="57"/>
        <v>18.900000000000134</v>
      </c>
      <c r="C387">
        <f>IF(Eingabe_Ausgabe!$B$13=1,Berechnung!C386,C386+G386*B387)</f>
        <v>41.00026417135857</v>
      </c>
      <c r="D387">
        <f>IF(Eingabe_Ausgabe!$B$13=1,Berechnung!D386+dt*g,D386+H386*B387)</f>
        <v>-417.9330527945481</v>
      </c>
      <c r="E387">
        <f>0.5*roh_luft*Eingabe_Ausgabe!$B$7*(C387*C387+D387*D387)</f>
        <v>12484514.485178553</v>
      </c>
      <c r="F387">
        <f t="shared" si="50"/>
        <v>-1.4730067691276965</v>
      </c>
      <c r="G387">
        <f>IF(Eingabe_Ausgabe!$B$13=1,0,-COS(F387)*E387/m)</f>
        <v>0</v>
      </c>
      <c r="H387">
        <f>IF(Eingabe_Ausgabe!$B$13=1,g,g-SIN(F387)*E387/m)</f>
        <v>-9.81</v>
      </c>
      <c r="I387" s="4">
        <f t="shared" si="59"/>
        <v>0</v>
      </c>
      <c r="J387" s="4">
        <f t="shared" si="58"/>
        <v>0</v>
      </c>
      <c r="K387">
        <f t="shared" si="51"/>
        <v>0</v>
      </c>
      <c r="L387">
        <f t="shared" si="52"/>
        <v>-84.39707106521826</v>
      </c>
      <c r="M387">
        <f t="shared" si="53"/>
        <v>146844.49614292974</v>
      </c>
      <c r="N387">
        <f t="shared" si="54"/>
        <v>-1274583.17401132</v>
      </c>
      <c r="O387">
        <f t="shared" si="55"/>
        <v>146844.49614292974</v>
      </c>
      <c r="P387">
        <f t="shared" si="56"/>
        <v>-1052939.8476488218</v>
      </c>
    </row>
    <row r="388" spans="2:16" ht="15">
      <c r="B388">
        <f t="shared" si="57"/>
        <v>18.950000000000134</v>
      </c>
      <c r="C388">
        <f>IF(Eingabe_Ausgabe!$B$13=1,Berechnung!C387,C387+G387*B388)</f>
        <v>41.00026417135857</v>
      </c>
      <c r="D388">
        <f>IF(Eingabe_Ausgabe!$B$13=1,Berechnung!D387+dt*g,D387+H387*B388)</f>
        <v>-418.4235527945481</v>
      </c>
      <c r="E388">
        <f>0.5*roh_luft*Eingabe_Ausgabe!$B$7*(C388*C388+D388*D388)</f>
        <v>12513556.652004257</v>
      </c>
      <c r="F388">
        <f t="shared" si="50"/>
        <v>-1.4731206754865878</v>
      </c>
      <c r="G388">
        <f>IF(Eingabe_Ausgabe!$B$13=1,0,-COS(F388)*E388/m)</f>
        <v>0</v>
      </c>
      <c r="H388">
        <f>IF(Eingabe_Ausgabe!$B$13=1,g,g-SIN(F388)*E388/m)</f>
        <v>-9.81</v>
      </c>
      <c r="I388" s="4">
        <f t="shared" si="59"/>
        <v>0</v>
      </c>
      <c r="J388" s="4">
        <f t="shared" si="58"/>
        <v>0</v>
      </c>
      <c r="K388">
        <f t="shared" si="51"/>
        <v>0</v>
      </c>
      <c r="L388">
        <f t="shared" si="52"/>
        <v>-84.40359741884242</v>
      </c>
      <c r="M388">
        <f t="shared" si="53"/>
        <v>147621.45114897698</v>
      </c>
      <c r="N388">
        <f t="shared" si="54"/>
        <v>-1282512.3003367768</v>
      </c>
      <c r="O388">
        <f t="shared" si="55"/>
        <v>147621.45114897698</v>
      </c>
      <c r="P388">
        <f t="shared" si="56"/>
        <v>-1059107.5762117784</v>
      </c>
    </row>
    <row r="389" spans="2:16" ht="15">
      <c r="B389">
        <f t="shared" si="57"/>
        <v>19.000000000000135</v>
      </c>
      <c r="C389">
        <f>IF(Eingabe_Ausgabe!$B$13=1,Berechnung!C388,C388+G388*B389)</f>
        <v>41.00026417135857</v>
      </c>
      <c r="D389">
        <f>IF(Eingabe_Ausgabe!$B$13=1,Berechnung!D388+dt*g,D388+H388*B389)</f>
        <v>-418.91405279454807</v>
      </c>
      <c r="E389">
        <f>0.5*roh_luft*Eingabe_Ausgabe!$B$7*(C389*C389+D389*D389)</f>
        <v>12542632.883683955</v>
      </c>
      <c r="F389">
        <f t="shared" si="50"/>
        <v>-1.4732343176369254</v>
      </c>
      <c r="G389">
        <f>IF(Eingabe_Ausgabe!$B$13=1,0,-COS(F389)*E389/m)</f>
        <v>0</v>
      </c>
      <c r="H389">
        <f>IF(Eingabe_Ausgabe!$B$13=1,g,g-SIN(F389)*E389/m)</f>
        <v>-9.81</v>
      </c>
      <c r="I389" s="4">
        <f t="shared" si="59"/>
        <v>0</v>
      </c>
      <c r="J389" s="4">
        <f t="shared" si="58"/>
        <v>0</v>
      </c>
      <c r="K389">
        <f t="shared" si="51"/>
        <v>0</v>
      </c>
      <c r="L389">
        <f t="shared" si="52"/>
        <v>-84.41010863443157</v>
      </c>
      <c r="M389">
        <f t="shared" si="53"/>
        <v>148400.4561682328</v>
      </c>
      <c r="N389">
        <f t="shared" si="54"/>
        <v>-1290471.6673398733</v>
      </c>
      <c r="O389">
        <f t="shared" si="55"/>
        <v>148400.4561682328</v>
      </c>
      <c r="P389">
        <f t="shared" si="56"/>
        <v>-1065296.2382148749</v>
      </c>
    </row>
    <row r="390" spans="2:16" ht="15">
      <c r="B390">
        <f t="shared" si="57"/>
        <v>19.050000000000136</v>
      </c>
      <c r="C390">
        <f>IF(Eingabe_Ausgabe!$B$13=1,Berechnung!C389,C389+G389*B390)</f>
        <v>41.00026417135857</v>
      </c>
      <c r="D390">
        <f>IF(Eingabe_Ausgabe!$B$13=1,Berechnung!D389+dt*g,D389+H389*B390)</f>
        <v>-419.40455279454807</v>
      </c>
      <c r="E390">
        <f>0.5*roh_luft*Eingabe_Ausgabe!$B$7*(C390*C390+D390*D390)</f>
        <v>12571743.180217646</v>
      </c>
      <c r="F390">
        <f t="shared" si="50"/>
        <v>-1.4733476964939762</v>
      </c>
      <c r="G390">
        <f>IF(Eingabe_Ausgabe!$B$13=1,0,-COS(F390)*E390/m)</f>
        <v>0</v>
      </c>
      <c r="H390">
        <f>IF(Eingabe_Ausgabe!$B$13=1,g,g-SIN(F390)*E390/m)</f>
        <v>-9.81</v>
      </c>
      <c r="I390" s="4">
        <f t="shared" si="59"/>
        <v>0</v>
      </c>
      <c r="J390" s="4">
        <f t="shared" si="58"/>
        <v>0</v>
      </c>
      <c r="K390">
        <f t="shared" si="51"/>
        <v>0</v>
      </c>
      <c r="L390">
        <f t="shared" si="52"/>
        <v>-84.4166047644266</v>
      </c>
      <c r="M390">
        <f t="shared" si="53"/>
        <v>149181.5112006972</v>
      </c>
      <c r="N390">
        <f t="shared" si="54"/>
        <v>-1298461.3240706094</v>
      </c>
      <c r="O390">
        <f t="shared" si="55"/>
        <v>149181.5112006972</v>
      </c>
      <c r="P390">
        <f t="shared" si="56"/>
        <v>-1071505.858183111</v>
      </c>
    </row>
    <row r="391" spans="2:16" ht="15">
      <c r="B391">
        <f t="shared" si="57"/>
        <v>19.100000000000136</v>
      </c>
      <c r="C391">
        <f>IF(Eingabe_Ausgabe!$B$13=1,Berechnung!C390,C390+G390*B391)</f>
        <v>41.00026417135857</v>
      </c>
      <c r="D391">
        <f>IF(Eingabe_Ausgabe!$B$13=1,Berechnung!D390+dt*g,D390+H390*B391)</f>
        <v>-419.89505279454806</v>
      </c>
      <c r="E391">
        <f>0.5*roh_luft*Eingabe_Ausgabe!$B$7*(C391*C391+D391*D391)</f>
        <v>12600887.541605331</v>
      </c>
      <c r="F391">
        <f t="shared" si="50"/>
        <v>-1.4734608129687987</v>
      </c>
      <c r="G391">
        <f>IF(Eingabe_Ausgabe!$B$13=1,0,-COS(F391)*E391/m)</f>
        <v>0</v>
      </c>
      <c r="H391">
        <f>IF(Eingabe_Ausgabe!$B$13=1,g,g-SIN(F391)*E391/m)</f>
        <v>-9.81</v>
      </c>
      <c r="I391" s="4">
        <f t="shared" si="59"/>
        <v>0</v>
      </c>
      <c r="J391" s="4">
        <f t="shared" si="58"/>
        <v>0</v>
      </c>
      <c r="K391">
        <f t="shared" si="51"/>
        <v>0</v>
      </c>
      <c r="L391">
        <f t="shared" si="52"/>
        <v>-84.42308586102732</v>
      </c>
      <c r="M391">
        <f t="shared" si="53"/>
        <v>149964.61624637013</v>
      </c>
      <c r="N391">
        <f t="shared" si="54"/>
        <v>-1306481.3195789852</v>
      </c>
      <c r="O391">
        <f t="shared" si="55"/>
        <v>149964.61624637013</v>
      </c>
      <c r="P391">
        <f t="shared" si="56"/>
        <v>-1077736.460641487</v>
      </c>
    </row>
    <row r="392" spans="2:16" ht="15">
      <c r="B392">
        <f t="shared" si="57"/>
        <v>19.150000000000137</v>
      </c>
      <c r="C392">
        <f>IF(Eingabe_Ausgabe!$B$13=1,Berechnung!C391,C391+G391*B392)</f>
        <v>41.00026417135857</v>
      </c>
      <c r="D392">
        <f>IF(Eingabe_Ausgabe!$B$13=1,Berechnung!D391+dt*g,D391+H391*B392)</f>
        <v>-420.38555279454806</v>
      </c>
      <c r="E392">
        <f>0.5*roh_luft*Eingabe_Ausgabe!$B$7*(C392*C392+D392*D392)</f>
        <v>12630065.96784701</v>
      </c>
      <c r="F392">
        <f t="shared" si="50"/>
        <v>-1.4735736679682658</v>
      </c>
      <c r="G392">
        <f>IF(Eingabe_Ausgabe!$B$13=1,0,-COS(F392)*E392/m)</f>
        <v>0</v>
      </c>
      <c r="H392">
        <f>IF(Eingabe_Ausgabe!$B$13=1,g,g-SIN(F392)*E392/m)</f>
        <v>-9.81</v>
      </c>
      <c r="I392" s="4">
        <f t="shared" si="59"/>
        <v>0</v>
      </c>
      <c r="J392" s="4">
        <f t="shared" si="58"/>
        <v>0</v>
      </c>
      <c r="K392">
        <f t="shared" si="51"/>
        <v>0</v>
      </c>
      <c r="L392">
        <f t="shared" si="52"/>
        <v>-84.42955197619374</v>
      </c>
      <c r="M392">
        <f t="shared" si="53"/>
        <v>150749.77130525166</v>
      </c>
      <c r="N392">
        <f t="shared" si="54"/>
        <v>-1314531.702915001</v>
      </c>
      <c r="O392">
        <f t="shared" si="55"/>
        <v>150749.77130525166</v>
      </c>
      <c r="P392">
        <f t="shared" si="56"/>
        <v>-1083988.0701150026</v>
      </c>
    </row>
    <row r="393" spans="2:16" ht="15">
      <c r="B393">
        <f t="shared" si="57"/>
        <v>19.200000000000138</v>
      </c>
      <c r="C393">
        <f>IF(Eingabe_Ausgabe!$B$13=1,Berechnung!C392,C392+G392*B393)</f>
        <v>41.00026417135857</v>
      </c>
      <c r="D393">
        <f>IF(Eingabe_Ausgabe!$B$13=1,Berechnung!D392+dt*g,D392+H392*B393)</f>
        <v>-420.87605279454806</v>
      </c>
      <c r="E393">
        <f>0.5*roh_luft*Eingabe_Ausgabe!$B$7*(C393*C393+D393*D393)</f>
        <v>12659278.458942682</v>
      </c>
      <c r="F393">
        <f aca="true" t="shared" si="60" ref="F393:F456">ATAN(D393/C393)</f>
        <v>-1.4736862623950895</v>
      </c>
      <c r="G393">
        <f>IF(Eingabe_Ausgabe!$B$13=1,0,-COS(F393)*E393/m)</f>
        <v>0</v>
      </c>
      <c r="H393">
        <f>IF(Eingabe_Ausgabe!$B$13=1,g,g-SIN(F393)*E393/m)</f>
        <v>-9.81</v>
      </c>
      <c r="I393" s="4">
        <f t="shared" si="59"/>
        <v>0</v>
      </c>
      <c r="J393" s="4">
        <f t="shared" si="58"/>
        <v>0</v>
      </c>
      <c r="K393">
        <f t="shared" si="51"/>
        <v>0</v>
      </c>
      <c r="L393">
        <f t="shared" si="52"/>
        <v>-84.43600316164743</v>
      </c>
      <c r="M393">
        <f t="shared" si="53"/>
        <v>151536.97637734175</v>
      </c>
      <c r="N393">
        <f t="shared" si="54"/>
        <v>-1322612.5231286564</v>
      </c>
      <c r="O393">
        <f t="shared" si="55"/>
        <v>151536.97637734175</v>
      </c>
      <c r="P393">
        <f t="shared" si="56"/>
        <v>-1090260.7111286581</v>
      </c>
    </row>
    <row r="394" spans="2:16" ht="15">
      <c r="B394">
        <f t="shared" si="57"/>
        <v>19.25000000000014</v>
      </c>
      <c r="C394">
        <f>IF(Eingabe_Ausgabe!$B$13=1,Berechnung!C393,C393+G393*B394)</f>
        <v>41.00026417135857</v>
      </c>
      <c r="D394">
        <f>IF(Eingabe_Ausgabe!$B$13=1,Berechnung!D393+dt*g,D393+H393*B394)</f>
        <v>-421.36655279454806</v>
      </c>
      <c r="E394">
        <f>0.5*roh_luft*Eingabe_Ausgabe!$B$7*(C394*C394+D394*D394)</f>
        <v>12688525.014892347</v>
      </c>
      <c r="F394">
        <f t="shared" si="60"/>
        <v>-1.4737985971478444</v>
      </c>
      <c r="G394">
        <f>IF(Eingabe_Ausgabe!$B$13=1,0,-COS(F394)*E394/m)</f>
        <v>0</v>
      </c>
      <c r="H394">
        <f>IF(Eingabe_Ausgabe!$B$13=1,g,g-SIN(F394)*E394/m)</f>
        <v>-9.81</v>
      </c>
      <c r="I394" s="4">
        <f t="shared" si="59"/>
        <v>0</v>
      </c>
      <c r="J394" s="4">
        <f t="shared" si="58"/>
        <v>0</v>
      </c>
      <c r="K394">
        <f aca="true" t="shared" si="61" ref="K394:K457">IF(N393&lt;=0,0,SQRT(C394*C394+D394*D394)*3.6)</f>
        <v>0</v>
      </c>
      <c r="L394">
        <f aca="true" t="shared" si="62" ref="L394:L457">DEGREES(F394)</f>
        <v>-84.44243946887293</v>
      </c>
      <c r="M394">
        <f aca="true" t="shared" si="63" ref="M394:M457">M393+C394*B394</f>
        <v>152326.2314626404</v>
      </c>
      <c r="N394">
        <f aca="true" t="shared" si="64" ref="N394:N457">N393+D394*B394</f>
        <v>-1330723.8292699514</v>
      </c>
      <c r="O394">
        <f aca="true" t="shared" si="65" ref="O394:O457">O393+$C$9*B394</f>
        <v>152326.2314626404</v>
      </c>
      <c r="P394">
        <f aca="true" t="shared" si="66" ref="P394:P457">P393+v_Anfang*SIN(alpha)*B394+g/2*B394*B394</f>
        <v>-1096554.4082074533</v>
      </c>
    </row>
    <row r="395" spans="2:16" ht="15">
      <c r="B395">
        <f aca="true" t="shared" si="67" ref="B395:B458">$B$10+B394</f>
        <v>19.30000000000014</v>
      </c>
      <c r="C395">
        <f>IF(Eingabe_Ausgabe!$B$13=1,Berechnung!C394,C394+G394*B395)</f>
        <v>41.00026417135857</v>
      </c>
      <c r="D395">
        <f>IF(Eingabe_Ausgabe!$B$13=1,Berechnung!D394+dt*g,D394+H394*B395)</f>
        <v>-421.85705279454805</v>
      </c>
      <c r="E395">
        <f>0.5*roh_luft*Eingabe_Ausgabe!$B$7*(C395*C395+D395*D395)</f>
        <v>12717805.635696007</v>
      </c>
      <c r="F395">
        <f t="shared" si="60"/>
        <v>-1.4739106731209914</v>
      </c>
      <c r="G395">
        <f>IF(Eingabe_Ausgabe!$B$13=1,0,-COS(F395)*E395/m)</f>
        <v>0</v>
      </c>
      <c r="H395">
        <f>IF(Eingabe_Ausgabe!$B$13=1,g,g-SIN(F395)*E395/m)</f>
        <v>-9.81</v>
      </c>
      <c r="I395" s="4">
        <f t="shared" si="59"/>
        <v>0</v>
      </c>
      <c r="J395" s="4">
        <f aca="true" t="shared" si="68" ref="J395:J458">IF($B$1*3.6&lt;=K395,1,0)</f>
        <v>0</v>
      </c>
      <c r="K395">
        <f t="shared" si="61"/>
        <v>0</v>
      </c>
      <c r="L395">
        <f t="shared" si="62"/>
        <v>-84.44886094911908</v>
      </c>
      <c r="M395">
        <f t="shared" si="63"/>
        <v>153117.53656114763</v>
      </c>
      <c r="N395">
        <f t="shared" si="64"/>
        <v>-1338865.6703888862</v>
      </c>
      <c r="O395">
        <f t="shared" si="65"/>
        <v>153117.53656114763</v>
      </c>
      <c r="P395">
        <f t="shared" si="66"/>
        <v>-1102869.185876388</v>
      </c>
    </row>
    <row r="396" spans="2:16" ht="15">
      <c r="B396">
        <f t="shared" si="67"/>
        <v>19.35000000000014</v>
      </c>
      <c r="C396">
        <f>IF(Eingabe_Ausgabe!$B$13=1,Berechnung!C395,C395+G395*B396)</f>
        <v>41.00026417135857</v>
      </c>
      <c r="D396">
        <f>IF(Eingabe_Ausgabe!$B$13=1,Berechnung!D395+dt*g,D395+H395*B396)</f>
        <v>-422.34755279454805</v>
      </c>
      <c r="E396">
        <f>0.5*roh_luft*Eingabe_Ausgabe!$B$7*(C396*C396+D396*D396)</f>
        <v>12747120.321353659</v>
      </c>
      <c r="F396">
        <f t="shared" si="60"/>
        <v>-1.4740224912049011</v>
      </c>
      <c r="G396">
        <f>IF(Eingabe_Ausgabe!$B$13=1,0,-COS(F396)*E396/m)</f>
        <v>0</v>
      </c>
      <c r="H396">
        <f>IF(Eingabe_Ausgabe!$B$13=1,g,g-SIN(F396)*E396/m)</f>
        <v>-9.81</v>
      </c>
      <c r="I396" s="4">
        <f aca="true" t="shared" si="69" ref="I396:I459">IF(AND(N396&lt;=0,I395=0,N395&gt;0),1,0)</f>
        <v>0</v>
      </c>
      <c r="J396" s="4">
        <f t="shared" si="68"/>
        <v>0</v>
      </c>
      <c r="K396">
        <f t="shared" si="61"/>
        <v>0</v>
      </c>
      <c r="L396">
        <f t="shared" si="62"/>
        <v>-84.45526765340034</v>
      </c>
      <c r="M396">
        <f t="shared" si="63"/>
        <v>153910.89167286342</v>
      </c>
      <c r="N396">
        <f t="shared" si="64"/>
        <v>-1347038.0955354609</v>
      </c>
      <c r="O396">
        <f t="shared" si="65"/>
        <v>153910.89167286342</v>
      </c>
      <c r="P396">
        <f t="shared" si="66"/>
        <v>-1109205.0686604627</v>
      </c>
    </row>
    <row r="397" spans="2:16" ht="15">
      <c r="B397">
        <f t="shared" si="67"/>
        <v>19.40000000000014</v>
      </c>
      <c r="C397">
        <f>IF(Eingabe_Ausgabe!$B$13=1,Berechnung!C396,C396+G396*B397)</f>
        <v>41.00026417135857</v>
      </c>
      <c r="D397">
        <f>IF(Eingabe_Ausgabe!$B$13=1,Berechnung!D396+dt*g,D396+H396*B397)</f>
        <v>-422.83805279454805</v>
      </c>
      <c r="E397">
        <f>0.5*roh_luft*Eingabe_Ausgabe!$B$7*(C397*C397+D397*D397)</f>
        <v>12776469.071865305</v>
      </c>
      <c r="F397">
        <f t="shared" si="60"/>
        <v>-1.4741340522858775</v>
      </c>
      <c r="G397">
        <f>IF(Eingabe_Ausgabe!$B$13=1,0,-COS(F397)*E397/m)</f>
        <v>0</v>
      </c>
      <c r="H397">
        <f>IF(Eingabe_Ausgabe!$B$13=1,g,g-SIN(F397)*E397/m)</f>
        <v>-9.81</v>
      </c>
      <c r="I397" s="4">
        <f t="shared" si="69"/>
        <v>0</v>
      </c>
      <c r="J397" s="4">
        <f t="shared" si="68"/>
        <v>0</v>
      </c>
      <c r="K397">
        <f t="shared" si="61"/>
        <v>0</v>
      </c>
      <c r="L397">
        <f t="shared" si="62"/>
        <v>-84.4616596324982</v>
      </c>
      <c r="M397">
        <f t="shared" si="63"/>
        <v>154706.29679778777</v>
      </c>
      <c r="N397">
        <f t="shared" si="64"/>
        <v>-1355241.153759675</v>
      </c>
      <c r="O397">
        <f t="shared" si="65"/>
        <v>154706.29679778777</v>
      </c>
      <c r="P397">
        <f t="shared" si="66"/>
        <v>-1115562.081084677</v>
      </c>
    </row>
    <row r="398" spans="2:16" ht="15">
      <c r="B398">
        <f t="shared" si="67"/>
        <v>19.45000000000014</v>
      </c>
      <c r="C398">
        <f>IF(Eingabe_Ausgabe!$B$13=1,Berechnung!C397,C397+G397*B398)</f>
        <v>41.00026417135857</v>
      </c>
      <c r="D398">
        <f>IF(Eingabe_Ausgabe!$B$13=1,Berechnung!D397+dt*g,D397+H397*B398)</f>
        <v>-423.32855279454805</v>
      </c>
      <c r="E398">
        <f>0.5*roh_luft*Eingabe_Ausgabe!$B$7*(C398*C398+D398*D398)</f>
        <v>12805851.887230946</v>
      </c>
      <c r="F398">
        <f t="shared" si="60"/>
        <v>-1.4742453572461798</v>
      </c>
      <c r="G398">
        <f>IF(Eingabe_Ausgabe!$B$13=1,0,-COS(F398)*E398/m)</f>
        <v>0</v>
      </c>
      <c r="H398">
        <f>IF(Eingabe_Ausgabe!$B$13=1,g,g-SIN(F398)*E398/m)</f>
        <v>-9.81</v>
      </c>
      <c r="I398" s="4">
        <f t="shared" si="69"/>
        <v>0</v>
      </c>
      <c r="J398" s="4">
        <f t="shared" si="68"/>
        <v>0</v>
      </c>
      <c r="K398">
        <f t="shared" si="61"/>
        <v>0</v>
      </c>
      <c r="L398">
        <f t="shared" si="62"/>
        <v>-84.46803693696239</v>
      </c>
      <c r="M398">
        <f t="shared" si="63"/>
        <v>155503.7519359207</v>
      </c>
      <c r="N398">
        <f t="shared" si="64"/>
        <v>-1363474.8941115292</v>
      </c>
      <c r="O398">
        <f t="shared" si="65"/>
        <v>155503.7519359207</v>
      </c>
      <c r="P398">
        <f t="shared" si="66"/>
        <v>-1121940.247674031</v>
      </c>
    </row>
    <row r="399" spans="2:16" ht="15">
      <c r="B399">
        <f t="shared" si="67"/>
        <v>19.500000000000142</v>
      </c>
      <c r="C399">
        <f>IF(Eingabe_Ausgabe!$B$13=1,Berechnung!C398,C398+G398*B399)</f>
        <v>41.00026417135857</v>
      </c>
      <c r="D399">
        <f>IF(Eingabe_Ausgabe!$B$13=1,Berechnung!D398+dt*g,D398+H398*B399)</f>
        <v>-423.81905279454804</v>
      </c>
      <c r="E399">
        <f>0.5*roh_luft*Eingabe_Ausgabe!$B$7*(C399*C399+D399*D399)</f>
        <v>12835268.76745058</v>
      </c>
      <c r="F399">
        <f t="shared" si="60"/>
        <v>-1.474356406964047</v>
      </c>
      <c r="G399">
        <f>IF(Eingabe_Ausgabe!$B$13=1,0,-COS(F399)*E399/m)</f>
        <v>0</v>
      </c>
      <c r="H399">
        <f>IF(Eingabe_Ausgabe!$B$13=1,g,g-SIN(F399)*E399/m)</f>
        <v>-9.81</v>
      </c>
      <c r="I399" s="4">
        <f t="shared" si="69"/>
        <v>0</v>
      </c>
      <c r="J399" s="4">
        <f t="shared" si="68"/>
        <v>0</v>
      </c>
      <c r="K399">
        <f t="shared" si="61"/>
        <v>0</v>
      </c>
      <c r="L399">
        <f t="shared" si="62"/>
        <v>-84.4743996171123</v>
      </c>
      <c r="M399">
        <f t="shared" si="63"/>
        <v>156303.2570872622</v>
      </c>
      <c r="N399">
        <f t="shared" si="64"/>
        <v>-1371739.365641023</v>
      </c>
      <c r="O399">
        <f t="shared" si="65"/>
        <v>156303.2570872622</v>
      </c>
      <c r="P399">
        <f t="shared" si="66"/>
        <v>-1128339.5929535246</v>
      </c>
    </row>
    <row r="400" spans="2:16" ht="15">
      <c r="B400">
        <f t="shared" si="67"/>
        <v>19.550000000000143</v>
      </c>
      <c r="C400">
        <f>IF(Eingabe_Ausgabe!$B$13=1,Berechnung!C399,C399+G399*B400)</f>
        <v>41.00026417135857</v>
      </c>
      <c r="D400">
        <f>IF(Eingabe_Ausgabe!$B$13=1,Berechnung!D399+dt*g,D399+H399*B400)</f>
        <v>-424.30955279454804</v>
      </c>
      <c r="E400">
        <f>0.5*roh_luft*Eingabe_Ausgabe!$B$7*(C400*C400+D400*D400)</f>
        <v>12864719.71252421</v>
      </c>
      <c r="F400">
        <f t="shared" si="60"/>
        <v>-1.4744672023137193</v>
      </c>
      <c r="G400">
        <f>IF(Eingabe_Ausgabe!$B$13=1,0,-COS(F400)*E400/m)</f>
        <v>0</v>
      </c>
      <c r="H400">
        <f>IF(Eingabe_Ausgabe!$B$13=1,g,g-SIN(F400)*E400/m)</f>
        <v>-9.81</v>
      </c>
      <c r="I400" s="4">
        <f t="shared" si="69"/>
        <v>0</v>
      </c>
      <c r="J400" s="4">
        <f t="shared" si="68"/>
        <v>0</v>
      </c>
      <c r="K400">
        <f t="shared" si="61"/>
        <v>0</v>
      </c>
      <c r="L400">
        <f t="shared" si="62"/>
        <v>-84.4807477230382</v>
      </c>
      <c r="M400">
        <f t="shared" si="63"/>
        <v>157104.81225181225</v>
      </c>
      <c r="N400">
        <f t="shared" si="64"/>
        <v>-1380034.6173981566</v>
      </c>
      <c r="O400">
        <f t="shared" si="65"/>
        <v>157104.81225181225</v>
      </c>
      <c r="P400">
        <f t="shared" si="66"/>
        <v>-1134760.141448158</v>
      </c>
    </row>
    <row r="401" spans="2:16" ht="15">
      <c r="B401">
        <f t="shared" si="67"/>
        <v>19.600000000000144</v>
      </c>
      <c r="C401">
        <f>IF(Eingabe_Ausgabe!$B$13=1,Berechnung!C400,C400+G400*B401)</f>
        <v>41.00026417135857</v>
      </c>
      <c r="D401">
        <f>IF(Eingabe_Ausgabe!$B$13=1,Berechnung!D400+dt*g,D400+H400*B401)</f>
        <v>-424.80005279454804</v>
      </c>
      <c r="E401">
        <f>0.5*roh_luft*Eingabe_Ausgabe!$B$7*(C401*C401+D401*D401)</f>
        <v>12894204.72245183</v>
      </c>
      <c r="F401">
        <f t="shared" si="60"/>
        <v>-1.4745777441654626</v>
      </c>
      <c r="G401">
        <f>IF(Eingabe_Ausgabe!$B$13=1,0,-COS(F401)*E401/m)</f>
        <v>0</v>
      </c>
      <c r="H401">
        <f>IF(Eingabe_Ausgabe!$B$13=1,g,g-SIN(F401)*E401/m)</f>
        <v>-9.81</v>
      </c>
      <c r="I401" s="4">
        <f t="shared" si="69"/>
        <v>0</v>
      </c>
      <c r="J401" s="4">
        <f t="shared" si="68"/>
        <v>0</v>
      </c>
      <c r="K401">
        <f t="shared" si="61"/>
        <v>0</v>
      </c>
      <c r="L401">
        <f t="shared" si="62"/>
        <v>-84.48708130460265</v>
      </c>
      <c r="M401">
        <f t="shared" si="63"/>
        <v>157908.4174295709</v>
      </c>
      <c r="N401">
        <f t="shared" si="64"/>
        <v>-1388360.6984329298</v>
      </c>
      <c r="O401">
        <f t="shared" si="65"/>
        <v>157908.4174295709</v>
      </c>
      <c r="P401">
        <f t="shared" si="66"/>
        <v>-1141201.9176829313</v>
      </c>
    </row>
    <row r="402" spans="2:16" ht="15">
      <c r="B402">
        <f t="shared" si="67"/>
        <v>19.650000000000144</v>
      </c>
      <c r="C402">
        <f>IF(Eingabe_Ausgabe!$B$13=1,Berechnung!C401,C401+G401*B402)</f>
        <v>41.00026417135857</v>
      </c>
      <c r="D402">
        <f>IF(Eingabe_Ausgabe!$B$13=1,Berechnung!D401+dt*g,D401+H401*B402)</f>
        <v>-425.29055279454803</v>
      </c>
      <c r="E402">
        <f>0.5*roh_luft*Eingabe_Ausgabe!$B$7*(C402*C402+D402*D402)</f>
        <v>12923723.797233444</v>
      </c>
      <c r="F402">
        <f t="shared" si="60"/>
        <v>-1.4746880333855885</v>
      </c>
      <c r="G402">
        <f>IF(Eingabe_Ausgabe!$B$13=1,0,-COS(F402)*E402/m)</f>
        <v>0</v>
      </c>
      <c r="H402">
        <f>IF(Eingabe_Ausgabe!$B$13=1,g,g-SIN(F402)*E402/m)</f>
        <v>-9.81</v>
      </c>
      <c r="I402" s="4">
        <f t="shared" si="69"/>
        <v>0</v>
      </c>
      <c r="J402" s="4">
        <f t="shared" si="68"/>
        <v>0</v>
      </c>
      <c r="K402">
        <f t="shared" si="61"/>
        <v>0</v>
      </c>
      <c r="L402">
        <f t="shared" si="62"/>
        <v>-84.49340041144167</v>
      </c>
      <c r="M402">
        <f t="shared" si="63"/>
        <v>158714.0726205381</v>
      </c>
      <c r="N402">
        <f t="shared" si="64"/>
        <v>-1396717.6577953428</v>
      </c>
      <c r="O402">
        <f t="shared" si="65"/>
        <v>158714.0726205381</v>
      </c>
      <c r="P402">
        <f t="shared" si="66"/>
        <v>-1147664.9461828442</v>
      </c>
    </row>
    <row r="403" spans="2:16" ht="15">
      <c r="B403">
        <f t="shared" si="67"/>
        <v>19.700000000000145</v>
      </c>
      <c r="C403">
        <f>IF(Eingabe_Ausgabe!$B$13=1,Berechnung!C402,C402+G402*B403)</f>
        <v>41.00026417135857</v>
      </c>
      <c r="D403">
        <f>IF(Eingabe_Ausgabe!$B$13=1,Berechnung!D402+dt*g,D402+H402*B403)</f>
        <v>-425.78105279454803</v>
      </c>
      <c r="E403">
        <f>0.5*roh_luft*Eingabe_Ausgabe!$B$7*(C403*C403+D403*D403)</f>
        <v>12953276.936869053</v>
      </c>
      <c r="F403">
        <f t="shared" si="60"/>
        <v>-1.474798070836479</v>
      </c>
      <c r="G403">
        <f>IF(Eingabe_Ausgabe!$B$13=1,0,-COS(F403)*E403/m)</f>
        <v>0</v>
      </c>
      <c r="H403">
        <f>IF(Eingabe_Ausgabe!$B$13=1,g,g-SIN(F403)*E403/m)</f>
        <v>-9.81</v>
      </c>
      <c r="I403" s="4">
        <f t="shared" si="69"/>
        <v>0</v>
      </c>
      <c r="J403" s="4">
        <f t="shared" si="68"/>
        <v>0</v>
      </c>
      <c r="K403">
        <f t="shared" si="61"/>
        <v>0</v>
      </c>
      <c r="L403">
        <f t="shared" si="62"/>
        <v>-84.49970509296607</v>
      </c>
      <c r="M403">
        <f t="shared" si="63"/>
        <v>159521.77782471385</v>
      </c>
      <c r="N403">
        <f t="shared" si="64"/>
        <v>-1405105.5445353955</v>
      </c>
      <c r="O403">
        <f t="shared" si="65"/>
        <v>159521.77782471385</v>
      </c>
      <c r="P403">
        <f t="shared" si="66"/>
        <v>-1154149.251472897</v>
      </c>
    </row>
    <row r="404" spans="2:16" ht="15">
      <c r="B404">
        <f t="shared" si="67"/>
        <v>19.750000000000146</v>
      </c>
      <c r="C404">
        <f>IF(Eingabe_Ausgabe!$B$13=1,Berechnung!C403,C403+G403*B404)</f>
        <v>41.00026417135857</v>
      </c>
      <c r="D404">
        <f>IF(Eingabe_Ausgabe!$B$13=1,Berechnung!D403+dt*g,D403+H403*B404)</f>
        <v>-426.27155279454803</v>
      </c>
      <c r="E404">
        <f>0.5*roh_luft*Eingabe_Ausgabe!$B$7*(C404*C404+D404*D404)</f>
        <v>12982864.141358655</v>
      </c>
      <c r="F404">
        <f t="shared" si="60"/>
        <v>-1.4749078573766068</v>
      </c>
      <c r="G404">
        <f>IF(Eingabe_Ausgabe!$B$13=1,0,-COS(F404)*E404/m)</f>
        <v>0</v>
      </c>
      <c r="H404">
        <f>IF(Eingabe_Ausgabe!$B$13=1,g,g-SIN(F404)*E404/m)</f>
        <v>-9.81</v>
      </c>
      <c r="I404" s="4">
        <f t="shared" si="69"/>
        <v>0</v>
      </c>
      <c r="J404" s="4">
        <f t="shared" si="68"/>
        <v>0</v>
      </c>
      <c r="K404">
        <f t="shared" si="61"/>
        <v>0</v>
      </c>
      <c r="L404">
        <f t="shared" si="62"/>
        <v>-84.50599539836273</v>
      </c>
      <c r="M404">
        <f t="shared" si="63"/>
        <v>160331.5330420982</v>
      </c>
      <c r="N404">
        <f t="shared" si="64"/>
        <v>-1413524.407703088</v>
      </c>
      <c r="O404">
        <f t="shared" si="65"/>
        <v>160331.5330420982</v>
      </c>
      <c r="P404">
        <f t="shared" si="66"/>
        <v>-1160654.8580780893</v>
      </c>
    </row>
    <row r="405" spans="2:16" ht="15">
      <c r="B405">
        <f t="shared" si="67"/>
        <v>19.800000000000146</v>
      </c>
      <c r="C405">
        <f>IF(Eingabe_Ausgabe!$B$13=1,Berechnung!C404,C404+G404*B405)</f>
        <v>41.00026417135857</v>
      </c>
      <c r="D405">
        <f>IF(Eingabe_Ausgabe!$B$13=1,Berechnung!D404+dt*g,D404+H404*B405)</f>
        <v>-426.762052794548</v>
      </c>
      <c r="E405">
        <f>0.5*roh_luft*Eingabe_Ausgabe!$B$7*(C405*C405+D405*D405)</f>
        <v>13012485.41070225</v>
      </c>
      <c r="F405">
        <f t="shared" si="60"/>
        <v>-1.475017393860559</v>
      </c>
      <c r="G405">
        <f>IF(Eingabe_Ausgabe!$B$13=1,0,-COS(F405)*E405/m)</f>
        <v>0</v>
      </c>
      <c r="H405">
        <f>IF(Eingabe_Ausgabe!$B$13=1,g,g-SIN(F405)*E405/m)</f>
        <v>-9.81</v>
      </c>
      <c r="I405" s="4">
        <f t="shared" si="69"/>
        <v>0</v>
      </c>
      <c r="J405" s="4">
        <f t="shared" si="68"/>
        <v>0</v>
      </c>
      <c r="K405">
        <f t="shared" si="61"/>
        <v>0</v>
      </c>
      <c r="L405">
        <f t="shared" si="62"/>
        <v>-84.5122713765959</v>
      </c>
      <c r="M405">
        <f t="shared" si="63"/>
        <v>161143.3382726911</v>
      </c>
      <c r="N405">
        <f t="shared" si="64"/>
        <v>-1421974.29634842</v>
      </c>
      <c r="O405">
        <f t="shared" si="65"/>
        <v>161143.3382726911</v>
      </c>
      <c r="P405">
        <f t="shared" si="66"/>
        <v>-1167181.7905234215</v>
      </c>
    </row>
    <row r="406" spans="2:16" ht="15">
      <c r="B406">
        <f t="shared" si="67"/>
        <v>19.850000000000147</v>
      </c>
      <c r="C406">
        <f>IF(Eingabe_Ausgabe!$B$13=1,Berechnung!C405,C405+G405*B406)</f>
        <v>41.00026417135857</v>
      </c>
      <c r="D406">
        <f>IF(Eingabe_Ausgabe!$B$13=1,Berechnung!D405+dt*g,D405+H405*B406)</f>
        <v>-427.252552794548</v>
      </c>
      <c r="E406">
        <f>0.5*roh_luft*Eingabe_Ausgabe!$B$7*(C406*C406+D406*D406)</f>
        <v>13042140.74489984</v>
      </c>
      <c r="F406">
        <f t="shared" si="60"/>
        <v>-1.4751266811390578</v>
      </c>
      <c r="G406">
        <f>IF(Eingabe_Ausgabe!$B$13=1,0,-COS(F406)*E406/m)</f>
        <v>0</v>
      </c>
      <c r="H406">
        <f>IF(Eingabe_Ausgabe!$B$13=1,g,g-SIN(F406)*E406/m)</f>
        <v>-9.81</v>
      </c>
      <c r="I406" s="4">
        <f t="shared" si="69"/>
        <v>0</v>
      </c>
      <c r="J406" s="4">
        <f t="shared" si="68"/>
        <v>0</v>
      </c>
      <c r="K406">
        <f t="shared" si="61"/>
        <v>0</v>
      </c>
      <c r="L406">
        <f t="shared" si="62"/>
        <v>-84.51853307640835</v>
      </c>
      <c r="M406">
        <f t="shared" si="63"/>
        <v>161957.19351649255</v>
      </c>
      <c r="N406">
        <f t="shared" si="64"/>
        <v>-1430455.2595213917</v>
      </c>
      <c r="O406">
        <f t="shared" si="65"/>
        <v>161957.19351649255</v>
      </c>
      <c r="P406">
        <f t="shared" si="66"/>
        <v>-1173730.0733338934</v>
      </c>
    </row>
    <row r="407" spans="2:16" ht="15">
      <c r="B407">
        <f t="shared" si="67"/>
        <v>19.900000000000148</v>
      </c>
      <c r="C407">
        <f>IF(Eingabe_Ausgabe!$B$13=1,Berechnung!C406,C406+G406*B407)</f>
        <v>41.00026417135857</v>
      </c>
      <c r="D407">
        <f>IF(Eingabe_Ausgabe!$B$13=1,Berechnung!D406+dt*g,D406+H406*B407)</f>
        <v>-427.743052794548</v>
      </c>
      <c r="E407">
        <f>0.5*roh_luft*Eingabe_Ausgabe!$B$7*(C407*C407+D407*D407)</f>
        <v>13071830.143951422</v>
      </c>
      <c r="F407">
        <f t="shared" si="60"/>
        <v>-1.4752357200589827</v>
      </c>
      <c r="G407">
        <f>IF(Eingabe_Ausgabe!$B$13=1,0,-COS(F407)*E407/m)</f>
        <v>0</v>
      </c>
      <c r="H407">
        <f>IF(Eingabe_Ausgabe!$B$13=1,g,g-SIN(F407)*E407/m)</f>
        <v>-9.81</v>
      </c>
      <c r="I407" s="4">
        <f t="shared" si="69"/>
        <v>0</v>
      </c>
      <c r="J407" s="4">
        <f t="shared" si="68"/>
        <v>0</v>
      </c>
      <c r="K407">
        <f t="shared" si="61"/>
        <v>0</v>
      </c>
      <c r="L407">
        <f t="shared" si="62"/>
        <v>-84.52478054632272</v>
      </c>
      <c r="M407">
        <f t="shared" si="63"/>
        <v>162773.0987735026</v>
      </c>
      <c r="N407">
        <f t="shared" si="64"/>
        <v>-1438967.3462720034</v>
      </c>
      <c r="O407">
        <f t="shared" si="65"/>
        <v>162773.0987735026</v>
      </c>
      <c r="P407">
        <f t="shared" si="66"/>
        <v>-1180299.731034505</v>
      </c>
    </row>
    <row r="408" spans="2:16" ht="15">
      <c r="B408">
        <f t="shared" si="67"/>
        <v>19.95000000000015</v>
      </c>
      <c r="C408">
        <f>IF(Eingabe_Ausgabe!$B$13=1,Berechnung!C407,C407+G407*B408)</f>
        <v>41.00026417135857</v>
      </c>
      <c r="D408">
        <f>IF(Eingabe_Ausgabe!$B$13=1,Berechnung!D407+dt*g,D407+H407*B408)</f>
        <v>-428.233552794548</v>
      </c>
      <c r="E408">
        <f>0.5*roh_luft*Eingabe_Ausgabe!$B$7*(C408*C408+D408*D408)</f>
        <v>13101553.607857</v>
      </c>
      <c r="F408">
        <f t="shared" si="60"/>
        <v>-1.475344511463392</v>
      </c>
      <c r="G408">
        <f>IF(Eingabe_Ausgabe!$B$13=1,0,-COS(F408)*E408/m)</f>
        <v>0</v>
      </c>
      <c r="H408">
        <f>IF(Eingabe_Ausgabe!$B$13=1,g,g-SIN(F408)*E408/m)</f>
        <v>-9.81</v>
      </c>
      <c r="I408" s="4">
        <f t="shared" si="69"/>
        <v>0</v>
      </c>
      <c r="J408" s="4">
        <f t="shared" si="68"/>
        <v>0</v>
      </c>
      <c r="K408">
        <f t="shared" si="61"/>
        <v>0</v>
      </c>
      <c r="L408">
        <f t="shared" si="62"/>
        <v>-84.53101383464266</v>
      </c>
      <c r="M408">
        <f t="shared" si="63"/>
        <v>163591.0540437212</v>
      </c>
      <c r="N408">
        <f t="shared" si="64"/>
        <v>-1447510.6056502548</v>
      </c>
      <c r="O408">
        <f t="shared" si="65"/>
        <v>163591.0540437212</v>
      </c>
      <c r="P408">
        <f t="shared" si="66"/>
        <v>-1186890.7881502563</v>
      </c>
    </row>
    <row r="409" spans="2:16" ht="15">
      <c r="B409">
        <f t="shared" si="67"/>
        <v>20.00000000000015</v>
      </c>
      <c r="C409">
        <f>IF(Eingabe_Ausgabe!$B$13=1,Berechnung!C408,C408+G408*B409)</f>
        <v>41.00026417135857</v>
      </c>
      <c r="D409">
        <f>IF(Eingabe_Ausgabe!$B$13=1,Berechnung!D408+dt*g,D408+H408*B409)</f>
        <v>-428.724052794548</v>
      </c>
      <c r="E409">
        <f>0.5*roh_luft*Eingabe_Ausgabe!$B$7*(C409*C409+D409*D409)</f>
        <v>13131311.13661657</v>
      </c>
      <c r="F409">
        <f t="shared" si="60"/>
        <v>-1.4754530561915447</v>
      </c>
      <c r="G409">
        <f>IF(Eingabe_Ausgabe!$B$13=1,0,-COS(F409)*E409/m)</f>
        <v>0</v>
      </c>
      <c r="H409">
        <f>IF(Eingabe_Ausgabe!$B$13=1,g,g-SIN(F409)*E409/m)</f>
        <v>-9.81</v>
      </c>
      <c r="I409" s="4">
        <f t="shared" si="69"/>
        <v>0</v>
      </c>
      <c r="J409" s="4">
        <f t="shared" si="68"/>
        <v>0</v>
      </c>
      <c r="K409">
        <f t="shared" si="61"/>
        <v>0</v>
      </c>
      <c r="L409">
        <f t="shared" si="62"/>
        <v>-84.53723298945421</v>
      </c>
      <c r="M409">
        <f t="shared" si="63"/>
        <v>164411.0593271484</v>
      </c>
      <c r="N409">
        <f t="shared" si="64"/>
        <v>-1456085.0867061457</v>
      </c>
      <c r="O409">
        <f t="shared" si="65"/>
        <v>164411.0593271484</v>
      </c>
      <c r="P409">
        <f t="shared" si="66"/>
        <v>-1193503.2692061472</v>
      </c>
    </row>
    <row r="410" spans="2:16" ht="15">
      <c r="B410">
        <f t="shared" si="67"/>
        <v>20.05000000000015</v>
      </c>
      <c r="C410">
        <f>IF(Eingabe_Ausgabe!$B$13=1,Berechnung!C409,C409+G409*B410)</f>
        <v>41.00026417135857</v>
      </c>
      <c r="D410">
        <f>IF(Eingabe_Ausgabe!$B$13=1,Berechnung!D409+dt*g,D409+H409*B410)</f>
        <v>-429.214552794548</v>
      </c>
      <c r="E410">
        <f>0.5*roh_luft*Eingabe_Ausgabe!$B$7*(C410*C410+D410*D410)</f>
        <v>13161102.730230134</v>
      </c>
      <c r="F410">
        <f t="shared" si="60"/>
        <v>-1.475561355078921</v>
      </c>
      <c r="G410">
        <f>IF(Eingabe_Ausgabe!$B$13=1,0,-COS(F410)*E410/m)</f>
        <v>0</v>
      </c>
      <c r="H410">
        <f>IF(Eingabe_Ausgabe!$B$13=1,g,g-SIN(F410)*E410/m)</f>
        <v>-9.81</v>
      </c>
      <c r="I410" s="4">
        <f t="shared" si="69"/>
        <v>0</v>
      </c>
      <c r="J410" s="4">
        <f t="shared" si="68"/>
        <v>0</v>
      </c>
      <c r="K410">
        <f t="shared" si="61"/>
        <v>0</v>
      </c>
      <c r="L410">
        <f t="shared" si="62"/>
        <v>-84.54343805862683</v>
      </c>
      <c r="M410">
        <f t="shared" si="63"/>
        <v>165233.11462378415</v>
      </c>
      <c r="N410">
        <f t="shared" si="64"/>
        <v>-1464690.8384896764</v>
      </c>
      <c r="O410">
        <f t="shared" si="65"/>
        <v>165233.11462378415</v>
      </c>
      <c r="P410">
        <f t="shared" si="66"/>
        <v>-1200137.198727178</v>
      </c>
    </row>
    <row r="411" spans="2:16" ht="15">
      <c r="B411">
        <f t="shared" si="67"/>
        <v>20.10000000000015</v>
      </c>
      <c r="C411">
        <f>IF(Eingabe_Ausgabe!$B$13=1,Berechnung!C410,C410+G410*B411)</f>
        <v>41.00026417135857</v>
      </c>
      <c r="D411">
        <f>IF(Eingabe_Ausgabe!$B$13=1,Berechnung!D410+dt*g,D410+H410*B411)</f>
        <v>-429.705052794548</v>
      </c>
      <c r="E411">
        <f>0.5*roh_luft*Eingabe_Ausgabe!$B$7*(C411*C411+D411*D411)</f>
        <v>13190928.388697693</v>
      </c>
      <c r="F411">
        <f t="shared" si="60"/>
        <v>-1.4756694089572442</v>
      </c>
      <c r="G411">
        <f>IF(Eingabe_Ausgabe!$B$13=1,0,-COS(F411)*E411/m)</f>
        <v>0</v>
      </c>
      <c r="H411">
        <f>IF(Eingabe_Ausgabe!$B$13=1,g,g-SIN(F411)*E411/m)</f>
        <v>-9.81</v>
      </c>
      <c r="I411" s="4">
        <f t="shared" si="69"/>
        <v>0</v>
      </c>
      <c r="J411" s="4">
        <f t="shared" si="68"/>
        <v>0</v>
      </c>
      <c r="K411">
        <f t="shared" si="61"/>
        <v>0</v>
      </c>
      <c r="L411">
        <f t="shared" si="62"/>
        <v>-84.54962908981477</v>
      </c>
      <c r="M411">
        <f t="shared" si="63"/>
        <v>166057.21993362845</v>
      </c>
      <c r="N411">
        <f t="shared" si="64"/>
        <v>-1473327.9100508469</v>
      </c>
      <c r="O411">
        <f t="shared" si="65"/>
        <v>166057.21993362845</v>
      </c>
      <c r="P411">
        <f t="shared" si="66"/>
        <v>-1206792.6012383485</v>
      </c>
    </row>
    <row r="412" spans="2:16" ht="15">
      <c r="B412">
        <f t="shared" si="67"/>
        <v>20.15000000000015</v>
      </c>
      <c r="C412">
        <f>IF(Eingabe_Ausgabe!$B$13=1,Berechnung!C411,C411+G411*B412)</f>
        <v>41.00026417135857</v>
      </c>
      <c r="D412">
        <f>IF(Eingabe_Ausgabe!$B$13=1,Berechnung!D411+dt*g,D411+H411*B412)</f>
        <v>-430.195552794548</v>
      </c>
      <c r="E412">
        <f>0.5*roh_luft*Eingabe_Ausgabe!$B$7*(C412*C412+D412*D412)</f>
        <v>13220788.112019243</v>
      </c>
      <c r="F412">
        <f t="shared" si="60"/>
        <v>-1.4757772186545015</v>
      </c>
      <c r="G412">
        <f>IF(Eingabe_Ausgabe!$B$13=1,0,-COS(F412)*E412/m)</f>
        <v>0</v>
      </c>
      <c r="H412">
        <f>IF(Eingabe_Ausgabe!$B$13=1,g,g-SIN(F412)*E412/m)</f>
        <v>-9.81</v>
      </c>
      <c r="I412" s="4">
        <f t="shared" si="69"/>
        <v>0</v>
      </c>
      <c r="J412" s="4">
        <f t="shared" si="68"/>
        <v>0</v>
      </c>
      <c r="K412">
        <f t="shared" si="61"/>
        <v>0</v>
      </c>
      <c r="L412">
        <f t="shared" si="62"/>
        <v>-84.5558061304582</v>
      </c>
      <c r="M412">
        <f t="shared" si="63"/>
        <v>166883.37525668135</v>
      </c>
      <c r="N412">
        <f t="shared" si="64"/>
        <v>-1481996.350439657</v>
      </c>
      <c r="O412">
        <f t="shared" si="65"/>
        <v>166883.37525668135</v>
      </c>
      <c r="P412">
        <f t="shared" si="66"/>
        <v>-1213469.5012646588</v>
      </c>
    </row>
    <row r="413" spans="2:16" ht="15">
      <c r="B413">
        <f t="shared" si="67"/>
        <v>20.200000000000152</v>
      </c>
      <c r="C413">
        <f>IF(Eingabe_Ausgabe!$B$13=1,Berechnung!C412,C412+G412*B413)</f>
        <v>41.00026417135857</v>
      </c>
      <c r="D413">
        <f>IF(Eingabe_Ausgabe!$B$13=1,Berechnung!D412+dt*g,D412+H412*B413)</f>
        <v>-430.686052794548</v>
      </c>
      <c r="E413">
        <f>0.5*roh_luft*Eingabe_Ausgabe!$B$7*(C413*C413+D413*D413)</f>
        <v>13250681.900194788</v>
      </c>
      <c r="F413">
        <f t="shared" si="60"/>
        <v>-1.4758847849949646</v>
      </c>
      <c r="G413">
        <f>IF(Eingabe_Ausgabe!$B$13=1,0,-COS(F413)*E413/m)</f>
        <v>0</v>
      </c>
      <c r="H413">
        <f>IF(Eingabe_Ausgabe!$B$13=1,g,g-SIN(F413)*E413/m)</f>
        <v>-9.81</v>
      </c>
      <c r="I413" s="4">
        <f t="shared" si="69"/>
        <v>0</v>
      </c>
      <c r="J413" s="4">
        <f t="shared" si="68"/>
        <v>0</v>
      </c>
      <c r="K413">
        <f t="shared" si="61"/>
        <v>0</v>
      </c>
      <c r="L413">
        <f t="shared" si="62"/>
        <v>-84.5619692277844</v>
      </c>
      <c r="M413">
        <f t="shared" si="63"/>
        <v>167711.5805929428</v>
      </c>
      <c r="N413">
        <f t="shared" si="64"/>
        <v>-1490696.208706107</v>
      </c>
      <c r="O413">
        <f t="shared" si="65"/>
        <v>167711.5805929428</v>
      </c>
      <c r="P413">
        <f t="shared" si="66"/>
        <v>-1220167.9233311089</v>
      </c>
    </row>
    <row r="414" spans="2:16" ht="15">
      <c r="B414">
        <f t="shared" si="67"/>
        <v>20.250000000000153</v>
      </c>
      <c r="C414">
        <f>IF(Eingabe_Ausgabe!$B$13=1,Berechnung!C413,C413+G413*B414)</f>
        <v>41.00026417135857</v>
      </c>
      <c r="D414">
        <f>IF(Eingabe_Ausgabe!$B$13=1,Berechnung!D413+dt*g,D413+H413*B414)</f>
        <v>-431.176552794548</v>
      </c>
      <c r="E414">
        <f>0.5*roh_luft*Eingabe_Ausgabe!$B$7*(C414*C414+D414*D414)</f>
        <v>13280609.753224328</v>
      </c>
      <c r="F414">
        <f t="shared" si="60"/>
        <v>-1.4759921087992107</v>
      </c>
      <c r="G414">
        <f>IF(Eingabe_Ausgabe!$B$13=1,0,-COS(F414)*E414/m)</f>
        <v>0</v>
      </c>
      <c r="H414">
        <f>IF(Eingabe_Ausgabe!$B$13=1,g,g-SIN(F414)*E414/m)</f>
        <v>-9.81</v>
      </c>
      <c r="I414" s="4">
        <f t="shared" si="69"/>
        <v>0</v>
      </c>
      <c r="J414" s="4">
        <f t="shared" si="68"/>
        <v>0</v>
      </c>
      <c r="K414">
        <f t="shared" si="61"/>
        <v>0</v>
      </c>
      <c r="L414">
        <f t="shared" si="62"/>
        <v>-84.56811842880899</v>
      </c>
      <c r="M414">
        <f t="shared" si="63"/>
        <v>168541.8359424128</v>
      </c>
      <c r="N414">
        <f t="shared" si="64"/>
        <v>-1499427.5339001967</v>
      </c>
      <c r="O414">
        <f t="shared" si="65"/>
        <v>168541.8359424128</v>
      </c>
      <c r="P414">
        <f t="shared" si="66"/>
        <v>-1226887.8919626987</v>
      </c>
    </row>
    <row r="415" spans="2:16" ht="15">
      <c r="B415">
        <f t="shared" si="67"/>
        <v>20.300000000000153</v>
      </c>
      <c r="C415">
        <f>IF(Eingabe_Ausgabe!$B$13=1,Berechnung!C414,C414+G414*B415)</f>
        <v>41.00026417135857</v>
      </c>
      <c r="D415">
        <f>IF(Eingabe_Ausgabe!$B$13=1,Berechnung!D414+dt*g,D414+H414*B415)</f>
        <v>-431.667052794548</v>
      </c>
      <c r="E415">
        <f>0.5*roh_luft*Eingabe_Ausgabe!$B$7*(C415*C415+D415*D415)</f>
        <v>13310571.67110786</v>
      </c>
      <c r="F415">
        <f t="shared" si="60"/>
        <v>-1.4760991908841434</v>
      </c>
      <c r="G415">
        <f>IF(Eingabe_Ausgabe!$B$13=1,0,-COS(F415)*E415/m)</f>
        <v>0</v>
      </c>
      <c r="H415">
        <f>IF(Eingabe_Ausgabe!$B$13=1,g,g-SIN(F415)*E415/m)</f>
        <v>-9.81</v>
      </c>
      <c r="I415" s="4">
        <f t="shared" si="69"/>
        <v>0</v>
      </c>
      <c r="J415" s="4">
        <f t="shared" si="68"/>
        <v>0</v>
      </c>
      <c r="K415">
        <f t="shared" si="61"/>
        <v>0</v>
      </c>
      <c r="L415">
        <f t="shared" si="62"/>
        <v>-84.5742537803371</v>
      </c>
      <c r="M415">
        <f t="shared" si="63"/>
        <v>169374.1413050914</v>
      </c>
      <c r="N415">
        <f t="shared" si="64"/>
        <v>-1508190.375071926</v>
      </c>
      <c r="O415">
        <f t="shared" si="65"/>
        <v>169374.1413050914</v>
      </c>
      <c r="P415">
        <f t="shared" si="66"/>
        <v>-1233629.4316844281</v>
      </c>
    </row>
    <row r="416" spans="2:16" ht="15">
      <c r="B416">
        <f t="shared" si="67"/>
        <v>20.350000000000154</v>
      </c>
      <c r="C416">
        <f>IF(Eingabe_Ausgabe!$B$13=1,Berechnung!C415,C415+G415*B416)</f>
        <v>41.00026417135857</v>
      </c>
      <c r="D416">
        <f>IF(Eingabe_Ausgabe!$B$13=1,Berechnung!D415+dt*g,D415+H415*B416)</f>
        <v>-432.157552794548</v>
      </c>
      <c r="E416">
        <f>0.5*roh_luft*Eingabe_Ausgabe!$B$7*(C416*C416+D416*D416)</f>
        <v>13340567.653845385</v>
      </c>
      <c r="F416">
        <f t="shared" si="60"/>
        <v>-1.4762060320630126</v>
      </c>
      <c r="G416">
        <f>IF(Eingabe_Ausgabe!$B$13=1,0,-COS(F416)*E416/m)</f>
        <v>0</v>
      </c>
      <c r="H416">
        <f>IF(Eingabe_Ausgabe!$B$13=1,g,g-SIN(F416)*E416/m)</f>
        <v>-9.81</v>
      </c>
      <c r="I416" s="4">
        <f t="shared" si="69"/>
        <v>0</v>
      </c>
      <c r="J416" s="4">
        <f t="shared" si="68"/>
        <v>0</v>
      </c>
      <c r="K416">
        <f t="shared" si="61"/>
        <v>0</v>
      </c>
      <c r="L416">
        <f t="shared" si="62"/>
        <v>-84.58037532896451</v>
      </c>
      <c r="M416">
        <f t="shared" si="63"/>
        <v>170208.49668097857</v>
      </c>
      <c r="N416">
        <f t="shared" si="64"/>
        <v>-1516984.7812712952</v>
      </c>
      <c r="O416">
        <f t="shared" si="65"/>
        <v>170208.49668097857</v>
      </c>
      <c r="P416">
        <f t="shared" si="66"/>
        <v>-1240392.5670212973</v>
      </c>
    </row>
    <row r="417" spans="2:16" ht="15">
      <c r="B417">
        <f t="shared" si="67"/>
        <v>20.400000000000155</v>
      </c>
      <c r="C417">
        <f>IF(Eingabe_Ausgabe!$B$13=1,Berechnung!C416,C416+G416*B417)</f>
        <v>41.00026417135857</v>
      </c>
      <c r="D417">
        <f>IF(Eingabe_Ausgabe!$B$13=1,Berechnung!D416+dt*g,D416+H416*B417)</f>
        <v>-432.648052794548</v>
      </c>
      <c r="E417">
        <f>0.5*roh_luft*Eingabe_Ausgabe!$B$7*(C417*C417+D417*D417)</f>
        <v>13370597.701436905</v>
      </c>
      <c r="F417">
        <f t="shared" si="60"/>
        <v>-1.4763126331454355</v>
      </c>
      <c r="G417">
        <f>IF(Eingabe_Ausgabe!$B$13=1,0,-COS(F417)*E417/m)</f>
        <v>0</v>
      </c>
      <c r="H417">
        <f>IF(Eingabe_Ausgabe!$B$13=1,g,g-SIN(F417)*E417/m)</f>
        <v>-9.81</v>
      </c>
      <c r="I417" s="4">
        <f t="shared" si="69"/>
        <v>0</v>
      </c>
      <c r="J417" s="4">
        <f t="shared" si="68"/>
        <v>0</v>
      </c>
      <c r="K417">
        <f t="shared" si="61"/>
        <v>0</v>
      </c>
      <c r="L417">
        <f t="shared" si="62"/>
        <v>-84.58648312107886</v>
      </c>
      <c r="M417">
        <f t="shared" si="63"/>
        <v>171044.90207007428</v>
      </c>
      <c r="N417">
        <f t="shared" si="64"/>
        <v>-1525810.801548304</v>
      </c>
      <c r="O417">
        <f t="shared" si="65"/>
        <v>171044.90207007428</v>
      </c>
      <c r="P417">
        <f t="shared" si="66"/>
        <v>-1247177.3224983062</v>
      </c>
    </row>
    <row r="418" spans="2:16" ht="15">
      <c r="B418">
        <f t="shared" si="67"/>
        <v>20.450000000000156</v>
      </c>
      <c r="C418">
        <f>IF(Eingabe_Ausgabe!$B$13=1,Berechnung!C417,C417+G417*B418)</f>
        <v>41.00026417135857</v>
      </c>
      <c r="D418">
        <f>IF(Eingabe_Ausgabe!$B$13=1,Berechnung!D417+dt*g,D417+H417*B418)</f>
        <v>-433.138552794548</v>
      </c>
      <c r="E418">
        <f>0.5*roh_luft*Eingabe_Ausgabe!$B$7*(C418*C418+D418*D418)</f>
        <v>13400661.81388242</v>
      </c>
      <c r="F418">
        <f t="shared" si="60"/>
        <v>-1.4764189949374158</v>
      </c>
      <c r="G418">
        <f>IF(Eingabe_Ausgabe!$B$13=1,0,-COS(F418)*E418/m)</f>
        <v>0</v>
      </c>
      <c r="H418">
        <f>IF(Eingabe_Ausgabe!$B$13=1,g,g-SIN(F418)*E418/m)</f>
        <v>-9.81</v>
      </c>
      <c r="I418" s="4">
        <f t="shared" si="69"/>
        <v>0</v>
      </c>
      <c r="J418" s="4">
        <f t="shared" si="68"/>
        <v>0</v>
      </c>
      <c r="K418">
        <f t="shared" si="61"/>
        <v>0</v>
      </c>
      <c r="L418">
        <f t="shared" si="62"/>
        <v>-84.59257720286078</v>
      </c>
      <c r="M418">
        <f t="shared" si="63"/>
        <v>171883.3574723786</v>
      </c>
      <c r="N418">
        <f t="shared" si="64"/>
        <v>-1534668.4849529527</v>
      </c>
      <c r="O418">
        <f t="shared" si="65"/>
        <v>171883.3574723786</v>
      </c>
      <c r="P418">
        <f t="shared" si="66"/>
        <v>-1253983.7226404548</v>
      </c>
    </row>
    <row r="419" spans="2:16" ht="15">
      <c r="B419">
        <f t="shared" si="67"/>
        <v>20.500000000000156</v>
      </c>
      <c r="C419">
        <f>IF(Eingabe_Ausgabe!$B$13=1,Berechnung!C418,C418+G418*B419)</f>
        <v>41.00026417135857</v>
      </c>
      <c r="D419">
        <f>IF(Eingabe_Ausgabe!$B$13=1,Berechnung!D418+dt*g,D418+H418*B419)</f>
        <v>-433.629052794548</v>
      </c>
      <c r="E419">
        <f>0.5*roh_luft*Eingabe_Ausgabe!$B$7*(C419*C419+D419*D419)</f>
        <v>13430759.991181925</v>
      </c>
      <c r="F419">
        <f t="shared" si="60"/>
        <v>-1.4765251182413648</v>
      </c>
      <c r="G419">
        <f>IF(Eingabe_Ausgabe!$B$13=1,0,-COS(F419)*E419/m)</f>
        <v>0</v>
      </c>
      <c r="H419">
        <f>IF(Eingabe_Ausgabe!$B$13=1,g,g-SIN(F419)*E419/m)</f>
        <v>-9.81</v>
      </c>
      <c r="I419" s="4">
        <f t="shared" si="69"/>
        <v>0</v>
      </c>
      <c r="J419" s="4">
        <f t="shared" si="68"/>
        <v>0</v>
      </c>
      <c r="K419">
        <f t="shared" si="61"/>
        <v>0</v>
      </c>
      <c r="L419">
        <f t="shared" si="62"/>
        <v>-84.59865762028504</v>
      </c>
      <c r="M419">
        <f t="shared" si="63"/>
        <v>172723.86288789145</v>
      </c>
      <c r="N419">
        <f t="shared" si="64"/>
        <v>-1543557.880535241</v>
      </c>
      <c r="O419">
        <f t="shared" si="65"/>
        <v>172723.86288789145</v>
      </c>
      <c r="P419">
        <f t="shared" si="66"/>
        <v>-1260811.7919727429</v>
      </c>
    </row>
    <row r="420" spans="2:16" ht="15">
      <c r="B420">
        <f t="shared" si="67"/>
        <v>20.550000000000157</v>
      </c>
      <c r="C420">
        <f>IF(Eingabe_Ausgabe!$B$13=1,Berechnung!C419,C419+G419*B420)</f>
        <v>41.00026417135857</v>
      </c>
      <c r="D420">
        <f>IF(Eingabe_Ausgabe!$B$13=1,Berechnung!D419+dt*g,D419+H419*B420)</f>
        <v>-434.119552794548</v>
      </c>
      <c r="E420">
        <f>0.5*roh_luft*Eingabe_Ausgabe!$B$7*(C420*C420+D420*D420)</f>
        <v>13460892.233335424</v>
      </c>
      <c r="F420">
        <f t="shared" si="60"/>
        <v>-1.476631003856121</v>
      </c>
      <c r="G420">
        <f>IF(Eingabe_Ausgabe!$B$13=1,0,-COS(F420)*E420/m)</f>
        <v>0</v>
      </c>
      <c r="H420">
        <f>IF(Eingabe_Ausgabe!$B$13=1,g,g-SIN(F420)*E420/m)</f>
        <v>-9.81</v>
      </c>
      <c r="I420" s="4">
        <f t="shared" si="69"/>
        <v>0</v>
      </c>
      <c r="J420" s="4">
        <f t="shared" si="68"/>
        <v>0</v>
      </c>
      <c r="K420">
        <f t="shared" si="61"/>
        <v>0</v>
      </c>
      <c r="L420">
        <f t="shared" si="62"/>
        <v>-84.60472441912172</v>
      </c>
      <c r="M420">
        <f t="shared" si="63"/>
        <v>173566.41831661286</v>
      </c>
      <c r="N420">
        <f t="shared" si="64"/>
        <v>-1552479.037345169</v>
      </c>
      <c r="O420">
        <f t="shared" si="65"/>
        <v>173566.41831661286</v>
      </c>
      <c r="P420">
        <f t="shared" si="66"/>
        <v>-1267661.555020171</v>
      </c>
    </row>
    <row r="421" spans="2:16" ht="15">
      <c r="B421">
        <f t="shared" si="67"/>
        <v>20.600000000000158</v>
      </c>
      <c r="C421">
        <f>IF(Eingabe_Ausgabe!$B$13=1,Berechnung!C420,C420+G420*B421)</f>
        <v>41.00026417135857</v>
      </c>
      <c r="D421">
        <f>IF(Eingabe_Ausgabe!$B$13=1,Berechnung!D420+dt*g,D420+H420*B421)</f>
        <v>-434.610052794548</v>
      </c>
      <c r="E421">
        <f>0.5*roh_luft*Eingabe_Ausgabe!$B$7*(C421*C421+D421*D421)</f>
        <v>13491058.54034292</v>
      </c>
      <c r="F421">
        <f t="shared" si="60"/>
        <v>-1.4767366525769698</v>
      </c>
      <c r="G421">
        <f>IF(Eingabe_Ausgabe!$B$13=1,0,-COS(F421)*E421/m)</f>
        <v>0</v>
      </c>
      <c r="H421">
        <f>IF(Eingabe_Ausgabe!$B$13=1,g,g-SIN(F421)*E421/m)</f>
        <v>-9.81</v>
      </c>
      <c r="I421" s="4">
        <f t="shared" si="69"/>
        <v>0</v>
      </c>
      <c r="J421" s="4">
        <f t="shared" si="68"/>
        <v>0</v>
      </c>
      <c r="K421">
        <f t="shared" si="61"/>
        <v>0</v>
      </c>
      <c r="L421">
        <f t="shared" si="62"/>
        <v>-84.61077764493731</v>
      </c>
      <c r="M421">
        <f t="shared" si="63"/>
        <v>174411.02375854287</v>
      </c>
      <c r="N421">
        <f t="shared" si="64"/>
        <v>-1561432.004432737</v>
      </c>
      <c r="O421">
        <f t="shared" si="65"/>
        <v>174411.02375854287</v>
      </c>
      <c r="P421">
        <f t="shared" si="66"/>
        <v>-1274533.0363077389</v>
      </c>
    </row>
    <row r="422" spans="2:16" ht="15">
      <c r="B422">
        <f t="shared" si="67"/>
        <v>20.65000000000016</v>
      </c>
      <c r="C422">
        <f>IF(Eingabe_Ausgabe!$B$13=1,Berechnung!C421,C421+G421*B422)</f>
        <v>41.00026417135857</v>
      </c>
      <c r="D422">
        <f>IF(Eingabe_Ausgabe!$B$13=1,Berechnung!D421+dt*g,D421+H421*B422)</f>
        <v>-435.100552794548</v>
      </c>
      <c r="E422">
        <f>0.5*roh_luft*Eingabe_Ausgabe!$B$7*(C422*C422+D422*D422)</f>
        <v>13521258.912204407</v>
      </c>
      <c r="F422">
        <f t="shared" si="60"/>
        <v>-1.4768420651956629</v>
      </c>
      <c r="G422">
        <f>IF(Eingabe_Ausgabe!$B$13=1,0,-COS(F422)*E422/m)</f>
        <v>0</v>
      </c>
      <c r="H422">
        <f>IF(Eingabe_Ausgabe!$B$13=1,g,g-SIN(F422)*E422/m)</f>
        <v>-9.81</v>
      </c>
      <c r="I422" s="4">
        <f t="shared" si="69"/>
        <v>0</v>
      </c>
      <c r="J422" s="4">
        <f t="shared" si="68"/>
        <v>0</v>
      </c>
      <c r="K422">
        <f t="shared" si="61"/>
        <v>0</v>
      </c>
      <c r="L422">
        <f t="shared" si="62"/>
        <v>-84.61681734309585</v>
      </c>
      <c r="M422">
        <f t="shared" si="63"/>
        <v>175257.67921368143</v>
      </c>
      <c r="N422">
        <f t="shared" si="64"/>
        <v>-1570416.8308479444</v>
      </c>
      <c r="O422">
        <f t="shared" si="65"/>
        <v>175257.67921368143</v>
      </c>
      <c r="P422">
        <f t="shared" si="66"/>
        <v>-1281426.2603604463</v>
      </c>
    </row>
    <row r="423" spans="2:16" ht="15">
      <c r="B423">
        <f t="shared" si="67"/>
        <v>20.70000000000016</v>
      </c>
      <c r="C423">
        <f>IF(Eingabe_Ausgabe!$B$13=1,Berechnung!C422,C422+G422*B423)</f>
        <v>41.00026417135857</v>
      </c>
      <c r="D423">
        <f>IF(Eingabe_Ausgabe!$B$13=1,Berechnung!D422+dt*g,D422+H422*B423)</f>
        <v>-435.591052794548</v>
      </c>
      <c r="E423">
        <f>0.5*roh_luft*Eingabe_Ausgabe!$B$7*(C423*C423+D423*D423)</f>
        <v>13551493.348919889</v>
      </c>
      <c r="F423">
        <f t="shared" si="60"/>
        <v>-1.4769472425004384</v>
      </c>
      <c r="G423">
        <f>IF(Eingabe_Ausgabe!$B$13=1,0,-COS(F423)*E423/m)</f>
        <v>0</v>
      </c>
      <c r="H423">
        <f>IF(Eingabe_Ausgabe!$B$13=1,g,g-SIN(F423)*E423/m)</f>
        <v>-9.81</v>
      </c>
      <c r="I423" s="4">
        <f t="shared" si="69"/>
        <v>0</v>
      </c>
      <c r="J423" s="4">
        <f t="shared" si="68"/>
        <v>0</v>
      </c>
      <c r="K423">
        <f t="shared" si="61"/>
        <v>0</v>
      </c>
      <c r="L423">
        <f t="shared" si="62"/>
        <v>-84.62284355876005</v>
      </c>
      <c r="M423">
        <f t="shared" si="63"/>
        <v>176106.38468202855</v>
      </c>
      <c r="N423">
        <f t="shared" si="64"/>
        <v>-1579433.5656407916</v>
      </c>
      <c r="O423">
        <f t="shared" si="65"/>
        <v>176106.38468202855</v>
      </c>
      <c r="P423">
        <f t="shared" si="66"/>
        <v>-1288341.2517032935</v>
      </c>
    </row>
    <row r="424" spans="2:16" ht="15">
      <c r="B424">
        <f t="shared" si="67"/>
        <v>20.75000000000016</v>
      </c>
      <c r="C424">
        <f>IF(Eingabe_Ausgabe!$B$13=1,Berechnung!C423,C423+G423*B424)</f>
        <v>41.00026417135857</v>
      </c>
      <c r="D424">
        <f>IF(Eingabe_Ausgabe!$B$13=1,Berechnung!D423+dt*g,D423+H423*B424)</f>
        <v>-436.081552794548</v>
      </c>
      <c r="E424">
        <f>0.5*roh_luft*Eingabe_Ausgabe!$B$7*(C424*C424+D424*D424)</f>
        <v>13581761.850489365</v>
      </c>
      <c r="F424">
        <f t="shared" si="60"/>
        <v>-1.47705218527604</v>
      </c>
      <c r="G424">
        <f>IF(Eingabe_Ausgabe!$B$13=1,0,-COS(F424)*E424/m)</f>
        <v>0</v>
      </c>
      <c r="H424">
        <f>IF(Eingabe_Ausgabe!$B$13=1,g,g-SIN(F424)*E424/m)</f>
        <v>-9.81</v>
      </c>
      <c r="I424" s="4">
        <f t="shared" si="69"/>
        <v>0</v>
      </c>
      <c r="J424" s="4">
        <f t="shared" si="68"/>
        <v>0</v>
      </c>
      <c r="K424">
        <f t="shared" si="61"/>
        <v>0</v>
      </c>
      <c r="L424">
        <f t="shared" si="62"/>
        <v>-84.62885633689241</v>
      </c>
      <c r="M424">
        <f t="shared" si="63"/>
        <v>176957.14016358426</v>
      </c>
      <c r="N424">
        <f t="shared" si="64"/>
        <v>-1588482.2578612785</v>
      </c>
      <c r="O424">
        <f t="shared" si="65"/>
        <v>176957.14016358426</v>
      </c>
      <c r="P424">
        <f t="shared" si="66"/>
        <v>-1295278.0348612806</v>
      </c>
    </row>
    <row r="425" spans="2:16" ht="15">
      <c r="B425">
        <f t="shared" si="67"/>
        <v>20.80000000000016</v>
      </c>
      <c r="C425">
        <f>IF(Eingabe_Ausgabe!$B$13=1,Berechnung!C424,C424+G424*B425)</f>
        <v>41.00026417135857</v>
      </c>
      <c r="D425">
        <f>IF(Eingabe_Ausgabe!$B$13=1,Berechnung!D424+dt*g,D424+H424*B425)</f>
        <v>-436.572052794548</v>
      </c>
      <c r="E425">
        <f>0.5*roh_luft*Eingabe_Ausgabe!$B$7*(C425*C425+D425*D425)</f>
        <v>13612064.416912833</v>
      </c>
      <c r="F425">
        <f t="shared" si="60"/>
        <v>-1.4771568943037363</v>
      </c>
      <c r="G425">
        <f>IF(Eingabe_Ausgabe!$B$13=1,0,-COS(F425)*E425/m)</f>
        <v>0</v>
      </c>
      <c r="H425">
        <f>IF(Eingabe_Ausgabe!$B$13=1,g,g-SIN(F425)*E425/m)</f>
        <v>-9.81</v>
      </c>
      <c r="I425" s="4">
        <f t="shared" si="69"/>
        <v>0</v>
      </c>
      <c r="J425" s="4">
        <f t="shared" si="68"/>
        <v>0</v>
      </c>
      <c r="K425">
        <f t="shared" si="61"/>
        <v>0</v>
      </c>
      <c r="L425">
        <f t="shared" si="62"/>
        <v>-84.63485572225632</v>
      </c>
      <c r="M425">
        <f t="shared" si="63"/>
        <v>177809.94565834853</v>
      </c>
      <c r="N425">
        <f t="shared" si="64"/>
        <v>-1597562.9565594052</v>
      </c>
      <c r="O425">
        <f t="shared" si="65"/>
        <v>177809.94565834853</v>
      </c>
      <c r="P425">
        <f t="shared" si="66"/>
        <v>-1302236.6343594072</v>
      </c>
    </row>
    <row r="426" spans="2:16" ht="15">
      <c r="B426">
        <f t="shared" si="67"/>
        <v>20.85000000000016</v>
      </c>
      <c r="C426">
        <f>IF(Eingabe_Ausgabe!$B$13=1,Berechnung!C425,C425+G425*B426)</f>
        <v>41.00026417135857</v>
      </c>
      <c r="D426">
        <f>IF(Eingabe_Ausgabe!$B$13=1,Berechnung!D425+dt*g,D425+H425*B426)</f>
        <v>-437.06255279454797</v>
      </c>
      <c r="E426">
        <f>0.5*roh_luft*Eingabe_Ausgabe!$B$7*(C426*C426+D426*D426)</f>
        <v>13642401.048190296</v>
      </c>
      <c r="F426">
        <f t="shared" si="60"/>
        <v>-1.4772613703613395</v>
      </c>
      <c r="G426">
        <f>IF(Eingabe_Ausgabe!$B$13=1,0,-COS(F426)*E426/m)</f>
        <v>0</v>
      </c>
      <c r="H426">
        <f>IF(Eingabe_Ausgabe!$B$13=1,g,g-SIN(F426)*E426/m)</f>
        <v>-9.81</v>
      </c>
      <c r="I426" s="4">
        <f t="shared" si="69"/>
        <v>0</v>
      </c>
      <c r="J426" s="4">
        <f t="shared" si="68"/>
        <v>0</v>
      </c>
      <c r="K426">
        <f t="shared" si="61"/>
        <v>0</v>
      </c>
      <c r="L426">
        <f t="shared" si="62"/>
        <v>-84.64084175941716</v>
      </c>
      <c r="M426">
        <f t="shared" si="63"/>
        <v>178664.80116632135</v>
      </c>
      <c r="N426">
        <f t="shared" si="64"/>
        <v>-1606675.7107851715</v>
      </c>
      <c r="O426">
        <f t="shared" si="65"/>
        <v>178664.80116632135</v>
      </c>
      <c r="P426">
        <f t="shared" si="66"/>
        <v>-1309217.0747226737</v>
      </c>
    </row>
    <row r="427" spans="2:16" ht="15">
      <c r="B427">
        <f t="shared" si="67"/>
        <v>20.900000000000162</v>
      </c>
      <c r="C427">
        <f>IF(Eingabe_Ausgabe!$B$13=1,Berechnung!C426,C426+G426*B427)</f>
        <v>41.00026417135857</v>
      </c>
      <c r="D427">
        <f>IF(Eingabe_Ausgabe!$B$13=1,Berechnung!D426+dt*g,D426+H426*B427)</f>
        <v>-437.55305279454797</v>
      </c>
      <c r="E427">
        <f>0.5*roh_luft*Eingabe_Ausgabe!$B$7*(C427*C427+D427*D427)</f>
        <v>13672771.744321752</v>
      </c>
      <c r="F427">
        <f t="shared" si="60"/>
        <v>-1.4773656142232254</v>
      </c>
      <c r="G427">
        <f>IF(Eingabe_Ausgabe!$B$13=1,0,-COS(F427)*E427/m)</f>
        <v>0</v>
      </c>
      <c r="H427">
        <f>IF(Eingabe_Ausgabe!$B$13=1,g,g-SIN(F427)*E427/m)</f>
        <v>-9.81</v>
      </c>
      <c r="I427" s="4">
        <f t="shared" si="69"/>
        <v>0</v>
      </c>
      <c r="J427" s="4">
        <f t="shared" si="68"/>
        <v>0</v>
      </c>
      <c r="K427">
        <f t="shared" si="61"/>
        <v>0</v>
      </c>
      <c r="L427">
        <f t="shared" si="62"/>
        <v>-84.64681449274336</v>
      </c>
      <c r="M427">
        <f t="shared" si="63"/>
        <v>179521.70668750277</v>
      </c>
      <c r="N427">
        <f t="shared" si="64"/>
        <v>-1615820.5695885776</v>
      </c>
      <c r="O427">
        <f t="shared" si="65"/>
        <v>179521.70668750277</v>
      </c>
      <c r="P427">
        <f t="shared" si="66"/>
        <v>-1316219.3804760799</v>
      </c>
    </row>
    <row r="428" spans="2:16" ht="15">
      <c r="B428">
        <f t="shared" si="67"/>
        <v>20.950000000000163</v>
      </c>
      <c r="C428">
        <f>IF(Eingabe_Ausgabe!$B$13=1,Berechnung!C427,C427+G427*B428)</f>
        <v>41.00026417135857</v>
      </c>
      <c r="D428">
        <f>IF(Eingabe_Ausgabe!$B$13=1,Berechnung!D427+dt*g,D427+H427*B428)</f>
        <v>-438.04355279454796</v>
      </c>
      <c r="E428">
        <f>0.5*roh_luft*Eingabe_Ausgabe!$B$7*(C428*C428+D428*D428)</f>
        <v>13703176.505307203</v>
      </c>
      <c r="F428">
        <f t="shared" si="60"/>
        <v>-1.477469626660351</v>
      </c>
      <c r="G428">
        <f>IF(Eingabe_Ausgabe!$B$13=1,0,-COS(F428)*E428/m)</f>
        <v>0</v>
      </c>
      <c r="H428">
        <f>IF(Eingabe_Ausgabe!$B$13=1,g,g-SIN(F428)*E428/m)</f>
        <v>-9.81</v>
      </c>
      <c r="I428" s="4">
        <f t="shared" si="69"/>
        <v>0</v>
      </c>
      <c r="J428" s="4">
        <f t="shared" si="68"/>
        <v>0</v>
      </c>
      <c r="K428">
        <f t="shared" si="61"/>
        <v>0</v>
      </c>
      <c r="L428">
        <f t="shared" si="62"/>
        <v>-84.65277396640754</v>
      </c>
      <c r="M428">
        <f t="shared" si="63"/>
        <v>180380.66222189274</v>
      </c>
      <c r="N428">
        <f t="shared" si="64"/>
        <v>-1624997.5820196234</v>
      </c>
      <c r="O428">
        <f t="shared" si="65"/>
        <v>180380.66222189274</v>
      </c>
      <c r="P428">
        <f t="shared" si="66"/>
        <v>-1323243.5761446257</v>
      </c>
    </row>
    <row r="429" spans="2:16" ht="15">
      <c r="B429">
        <f t="shared" si="67"/>
        <v>21.000000000000163</v>
      </c>
      <c r="C429">
        <f>IF(Eingabe_Ausgabe!$B$13=1,Berechnung!C428,C428+G428*B429)</f>
        <v>41.00026417135857</v>
      </c>
      <c r="D429">
        <f>IF(Eingabe_Ausgabe!$B$13=1,Berechnung!D428+dt*g,D428+H428*B429)</f>
        <v>-438.53405279454796</v>
      </c>
      <c r="E429">
        <f>0.5*roh_luft*Eingabe_Ausgabe!$B$7*(C429*C429+D429*D429)</f>
        <v>13733615.331146644</v>
      </c>
      <c r="F429">
        <f t="shared" si="60"/>
        <v>-1.4775734084402752</v>
      </c>
      <c r="G429">
        <f>IF(Eingabe_Ausgabe!$B$13=1,0,-COS(F429)*E429/m)</f>
        <v>0</v>
      </c>
      <c r="H429">
        <f>IF(Eingabe_Ausgabe!$B$13=1,g,g-SIN(F429)*E429/m)</f>
        <v>-9.81</v>
      </c>
      <c r="I429" s="4">
        <f t="shared" si="69"/>
        <v>0</v>
      </c>
      <c r="J429" s="4">
        <f t="shared" si="68"/>
        <v>0</v>
      </c>
      <c r="K429">
        <f t="shared" si="61"/>
        <v>0</v>
      </c>
      <c r="L429">
        <f t="shared" si="62"/>
        <v>-84.65872022438754</v>
      </c>
      <c r="M429">
        <f t="shared" si="63"/>
        <v>181241.66776949127</v>
      </c>
      <c r="N429">
        <f t="shared" si="64"/>
        <v>-1634206.797128309</v>
      </c>
      <c r="O429">
        <f t="shared" si="65"/>
        <v>181241.66776949127</v>
      </c>
      <c r="P429">
        <f t="shared" si="66"/>
        <v>-1330289.686253311</v>
      </c>
    </row>
    <row r="430" spans="2:16" ht="15">
      <c r="B430">
        <f t="shared" si="67"/>
        <v>21.050000000000164</v>
      </c>
      <c r="C430">
        <f>IF(Eingabe_Ausgabe!$B$13=1,Berechnung!C429,C429+G429*B430)</f>
        <v>41.00026417135857</v>
      </c>
      <c r="D430">
        <f>IF(Eingabe_Ausgabe!$B$13=1,Berechnung!D429+dt*g,D429+H429*B430)</f>
        <v>-439.02455279454796</v>
      </c>
      <c r="E430">
        <f>0.5*roh_luft*Eingabe_Ausgabe!$B$7*(C430*C430+D430*D430)</f>
        <v>13764088.221840082</v>
      </c>
      <c r="F430">
        <f t="shared" si="60"/>
        <v>-1.4776769603271747</v>
      </c>
      <c r="G430">
        <f>IF(Eingabe_Ausgabe!$B$13=1,0,-COS(F430)*E430/m)</f>
        <v>0</v>
      </c>
      <c r="H430">
        <f>IF(Eingabe_Ausgabe!$B$13=1,g,g-SIN(F430)*E430/m)</f>
        <v>-9.81</v>
      </c>
      <c r="I430" s="4">
        <f t="shared" si="69"/>
        <v>0</v>
      </c>
      <c r="J430" s="4">
        <f t="shared" si="68"/>
        <v>0</v>
      </c>
      <c r="K430">
        <f t="shared" si="61"/>
        <v>0</v>
      </c>
      <c r="L430">
        <f t="shared" si="62"/>
        <v>-84.6646533104675</v>
      </c>
      <c r="M430">
        <f t="shared" si="63"/>
        <v>182104.72333029838</v>
      </c>
      <c r="N430">
        <f t="shared" si="64"/>
        <v>-1643448.2639646344</v>
      </c>
      <c r="O430">
        <f t="shared" si="65"/>
        <v>182104.72333029838</v>
      </c>
      <c r="P430">
        <f t="shared" si="66"/>
        <v>-1337357.7353271365</v>
      </c>
    </row>
    <row r="431" spans="2:16" ht="15">
      <c r="B431">
        <f t="shared" si="67"/>
        <v>21.100000000000165</v>
      </c>
      <c r="C431">
        <f>IF(Eingabe_Ausgabe!$B$13=1,Berechnung!C430,C430+G430*B431)</f>
        <v>41.00026417135857</v>
      </c>
      <c r="D431">
        <f>IF(Eingabe_Ausgabe!$B$13=1,Berechnung!D430+dt*g,D430+H430*B431)</f>
        <v>-439.51505279454796</v>
      </c>
      <c r="E431">
        <f>0.5*roh_luft*Eingabe_Ausgabe!$B$7*(C431*C431+D431*D431)</f>
        <v>13794595.177387513</v>
      </c>
      <c r="F431">
        <f t="shared" si="60"/>
        <v>-1.4777802830818656</v>
      </c>
      <c r="G431">
        <f>IF(Eingabe_Ausgabe!$B$13=1,0,-COS(F431)*E431/m)</f>
        <v>0</v>
      </c>
      <c r="H431">
        <f>IF(Eingabe_Ausgabe!$B$13=1,g,g-SIN(F431)*E431/m)</f>
        <v>-9.81</v>
      </c>
      <c r="I431" s="4">
        <f t="shared" si="69"/>
        <v>0</v>
      </c>
      <c r="J431" s="4">
        <f t="shared" si="68"/>
        <v>0</v>
      </c>
      <c r="K431">
        <f t="shared" si="61"/>
        <v>0</v>
      </c>
      <c r="L431">
        <f t="shared" si="62"/>
        <v>-84.67057326823895</v>
      </c>
      <c r="M431">
        <f t="shared" si="63"/>
        <v>182969.82890431405</v>
      </c>
      <c r="N431">
        <f t="shared" si="64"/>
        <v>-1652722.0315785995</v>
      </c>
      <c r="O431">
        <f t="shared" si="65"/>
        <v>182969.82890431405</v>
      </c>
      <c r="P431">
        <f t="shared" si="66"/>
        <v>-1344447.7478911015</v>
      </c>
    </row>
    <row r="432" spans="2:16" ht="15">
      <c r="B432">
        <f t="shared" si="67"/>
        <v>21.150000000000166</v>
      </c>
      <c r="C432">
        <f>IF(Eingabe_Ausgabe!$B$13=1,Berechnung!C431,C431+G431*B432)</f>
        <v>41.00026417135857</v>
      </c>
      <c r="D432">
        <f>IF(Eingabe_Ausgabe!$B$13=1,Berechnung!D431+dt*g,D431+H431*B432)</f>
        <v>-440.00555279454795</v>
      </c>
      <c r="E432">
        <f>0.5*roh_luft*Eingabe_Ausgabe!$B$7*(C432*C432+D432*D432)</f>
        <v>13825136.197788937</v>
      </c>
      <c r="F432">
        <f t="shared" si="60"/>
        <v>-1.4778833774618194</v>
      </c>
      <c r="G432">
        <f>IF(Eingabe_Ausgabe!$B$13=1,0,-COS(F432)*E432/m)</f>
        <v>0</v>
      </c>
      <c r="H432">
        <f>IF(Eingabe_Ausgabe!$B$13=1,g,g-SIN(F432)*E432/m)</f>
        <v>-9.81</v>
      </c>
      <c r="I432" s="4">
        <f t="shared" si="69"/>
        <v>0</v>
      </c>
      <c r="J432" s="4">
        <f t="shared" si="68"/>
        <v>0</v>
      </c>
      <c r="K432">
        <f t="shared" si="61"/>
        <v>0</v>
      </c>
      <c r="L432">
        <f t="shared" si="62"/>
        <v>-84.67648014110182</v>
      </c>
      <c r="M432">
        <f t="shared" si="63"/>
        <v>183836.9844915383</v>
      </c>
      <c r="N432">
        <f t="shared" si="64"/>
        <v>-1662028.1490202043</v>
      </c>
      <c r="O432">
        <f t="shared" si="65"/>
        <v>183836.9844915383</v>
      </c>
      <c r="P432">
        <f t="shared" si="66"/>
        <v>-1351559.7484702063</v>
      </c>
    </row>
    <row r="433" spans="2:16" ht="15">
      <c r="B433">
        <f t="shared" si="67"/>
        <v>21.200000000000166</v>
      </c>
      <c r="C433">
        <f>IF(Eingabe_Ausgabe!$B$13=1,Berechnung!C432,C432+G432*B433)</f>
        <v>41.00026417135857</v>
      </c>
      <c r="D433">
        <f>IF(Eingabe_Ausgabe!$B$13=1,Berechnung!D432+dt*g,D432+H432*B433)</f>
        <v>-440.49605279454795</v>
      </c>
      <c r="E433">
        <f>0.5*roh_luft*Eingabe_Ausgabe!$B$7*(C433*C433+D433*D433)</f>
        <v>13855711.283044355</v>
      </c>
      <c r="F433">
        <f t="shared" si="60"/>
        <v>-1.4779862442211829</v>
      </c>
      <c r="G433">
        <f>IF(Eingabe_Ausgabe!$B$13=1,0,-COS(F433)*E433/m)</f>
        <v>0</v>
      </c>
      <c r="H433">
        <f>IF(Eingabe_Ausgabe!$B$13=1,g,g-SIN(F433)*E433/m)</f>
        <v>-9.81</v>
      </c>
      <c r="I433" s="4">
        <f t="shared" si="69"/>
        <v>0</v>
      </c>
      <c r="J433" s="4">
        <f t="shared" si="68"/>
        <v>0</v>
      </c>
      <c r="K433">
        <f t="shared" si="61"/>
        <v>0</v>
      </c>
      <c r="L433">
        <f t="shared" si="62"/>
        <v>-84.68237397226554</v>
      </c>
      <c r="M433">
        <f t="shared" si="63"/>
        <v>184706.1900919711</v>
      </c>
      <c r="N433">
        <f t="shared" si="64"/>
        <v>-1671366.6653394487</v>
      </c>
      <c r="O433">
        <f t="shared" si="65"/>
        <v>184706.1900919711</v>
      </c>
      <c r="P433">
        <f t="shared" si="66"/>
        <v>-1358693.7615894508</v>
      </c>
    </row>
    <row r="434" spans="2:16" ht="15">
      <c r="B434">
        <f t="shared" si="67"/>
        <v>21.250000000000167</v>
      </c>
      <c r="C434">
        <f>IF(Eingabe_Ausgabe!$B$13=1,Berechnung!C433,C433+G433*B434)</f>
        <v>41.00026417135857</v>
      </c>
      <c r="D434">
        <f>IF(Eingabe_Ausgabe!$B$13=1,Berechnung!D433+dt*g,D433+H433*B434)</f>
        <v>-440.98655279454795</v>
      </c>
      <c r="E434">
        <f>0.5*roh_luft*Eingabe_Ausgabe!$B$7*(C434*C434+D434*D434)</f>
        <v>13886320.433153767</v>
      </c>
      <c r="F434">
        <f t="shared" si="60"/>
        <v>-1.4780888841107949</v>
      </c>
      <c r="G434">
        <f>IF(Eingabe_Ausgabe!$B$13=1,0,-COS(F434)*E434/m)</f>
        <v>0</v>
      </c>
      <c r="H434">
        <f>IF(Eingabe_Ausgabe!$B$13=1,g,g-SIN(F434)*E434/m)</f>
        <v>-9.81</v>
      </c>
      <c r="I434" s="4">
        <f t="shared" si="69"/>
        <v>0</v>
      </c>
      <c r="J434" s="4">
        <f t="shared" si="68"/>
        <v>0</v>
      </c>
      <c r="K434">
        <f t="shared" si="61"/>
        <v>0</v>
      </c>
      <c r="L434">
        <f t="shared" si="62"/>
        <v>-84.68825480474999</v>
      </c>
      <c r="M434">
        <f t="shared" si="63"/>
        <v>185577.44570561248</v>
      </c>
      <c r="N434">
        <f t="shared" si="64"/>
        <v>-1680737.629586333</v>
      </c>
      <c r="O434">
        <f t="shared" si="65"/>
        <v>185577.44570561248</v>
      </c>
      <c r="P434">
        <f t="shared" si="66"/>
        <v>-1365849.811773835</v>
      </c>
    </row>
    <row r="435" spans="2:16" ht="15">
      <c r="B435">
        <f t="shared" si="67"/>
        <v>21.300000000000168</v>
      </c>
      <c r="C435">
        <f>IF(Eingabe_Ausgabe!$B$13=1,Berechnung!C434,C434+G434*B435)</f>
        <v>41.00026417135857</v>
      </c>
      <c r="D435">
        <f>IF(Eingabe_Ausgabe!$B$13=1,Berechnung!D434+dt*g,D434+H434*B435)</f>
        <v>-441.47705279454794</v>
      </c>
      <c r="E435">
        <f>0.5*roh_luft*Eingabe_Ausgabe!$B$7*(C435*C435+D435*D435)</f>
        <v>13916963.648117172</v>
      </c>
      <c r="F435">
        <f t="shared" si="60"/>
        <v>-1.4781912978782057</v>
      </c>
      <c r="G435">
        <f>IF(Eingabe_Ausgabe!$B$13=1,0,-COS(F435)*E435/m)</f>
        <v>0</v>
      </c>
      <c r="H435">
        <f>IF(Eingabe_Ausgabe!$B$13=1,g,g-SIN(F435)*E435/m)</f>
        <v>-9.81</v>
      </c>
      <c r="I435" s="4">
        <f t="shared" si="69"/>
        <v>0</v>
      </c>
      <c r="J435" s="4">
        <f t="shared" si="68"/>
        <v>0</v>
      </c>
      <c r="K435">
        <f t="shared" si="61"/>
        <v>0</v>
      </c>
      <c r="L435">
        <f t="shared" si="62"/>
        <v>-84.69412268138667</v>
      </c>
      <c r="M435">
        <f t="shared" si="63"/>
        <v>186450.75133246242</v>
      </c>
      <c r="N435">
        <f t="shared" si="64"/>
        <v>-1690141.0908108568</v>
      </c>
      <c r="O435">
        <f t="shared" si="65"/>
        <v>186450.75133246242</v>
      </c>
      <c r="P435">
        <f t="shared" si="66"/>
        <v>-1373027.923548359</v>
      </c>
    </row>
    <row r="436" spans="2:16" ht="15">
      <c r="B436">
        <f t="shared" si="67"/>
        <v>21.35000000000017</v>
      </c>
      <c r="C436">
        <f>IF(Eingabe_Ausgabe!$B$13=1,Berechnung!C435,C435+G435*B436)</f>
        <v>41.00026417135857</v>
      </c>
      <c r="D436">
        <f>IF(Eingabe_Ausgabe!$B$13=1,Berechnung!D435+dt*g,D435+H435*B436)</f>
        <v>-441.96755279454794</v>
      </c>
      <c r="E436">
        <f>0.5*roh_luft*Eingabe_Ausgabe!$B$7*(C436*C436+D436*D436)</f>
        <v>13947640.927934572</v>
      </c>
      <c r="F436">
        <f t="shared" si="60"/>
        <v>-1.4782934862676942</v>
      </c>
      <c r="G436">
        <f>IF(Eingabe_Ausgabe!$B$13=1,0,-COS(F436)*E436/m)</f>
        <v>0</v>
      </c>
      <c r="H436">
        <f>IF(Eingabe_Ausgabe!$B$13=1,g,g-SIN(F436)*E436/m)</f>
        <v>-9.81</v>
      </c>
      <c r="I436" s="4">
        <f t="shared" si="69"/>
        <v>0</v>
      </c>
      <c r="J436" s="4">
        <f t="shared" si="68"/>
        <v>0</v>
      </c>
      <c r="K436">
        <f t="shared" si="61"/>
        <v>0</v>
      </c>
      <c r="L436">
        <f t="shared" si="62"/>
        <v>-84.6999776448196</v>
      </c>
      <c r="M436">
        <f t="shared" si="63"/>
        <v>187326.10697252094</v>
      </c>
      <c r="N436">
        <f t="shared" si="64"/>
        <v>-1699577.0980630205</v>
      </c>
      <c r="O436">
        <f t="shared" si="65"/>
        <v>187326.10697252094</v>
      </c>
      <c r="P436">
        <f t="shared" si="66"/>
        <v>-1380228.1214380227</v>
      </c>
    </row>
    <row r="437" spans="2:16" ht="15">
      <c r="B437">
        <f t="shared" si="67"/>
        <v>21.40000000000017</v>
      </c>
      <c r="C437">
        <f>IF(Eingabe_Ausgabe!$B$13=1,Berechnung!C436,C436+G436*B437)</f>
        <v>41.00026417135857</v>
      </c>
      <c r="D437">
        <f>IF(Eingabe_Ausgabe!$B$13=1,Berechnung!D436+dt*g,D436+H436*B437)</f>
        <v>-442.45805279454794</v>
      </c>
      <c r="E437">
        <f>0.5*roh_luft*Eingabe_Ausgabe!$B$7*(C437*C437+D437*D437)</f>
        <v>13978352.272605963</v>
      </c>
      <c r="F437">
        <f t="shared" si="60"/>
        <v>-1.478395450020286</v>
      </c>
      <c r="G437">
        <f>IF(Eingabe_Ausgabe!$B$13=1,0,-COS(F437)*E437/m)</f>
        <v>0</v>
      </c>
      <c r="H437">
        <f>IF(Eingabe_Ausgabe!$B$13=1,g,g-SIN(F437)*E437/m)</f>
        <v>-9.81</v>
      </c>
      <c r="I437" s="4">
        <f t="shared" si="69"/>
        <v>0</v>
      </c>
      <c r="J437" s="4">
        <f t="shared" si="68"/>
        <v>0</v>
      </c>
      <c r="K437">
        <f t="shared" si="61"/>
        <v>0</v>
      </c>
      <c r="L437">
        <f t="shared" si="62"/>
        <v>-84.70581973750643</v>
      </c>
      <c r="M437">
        <f t="shared" si="63"/>
        <v>188203.51262578802</v>
      </c>
      <c r="N437">
        <f t="shared" si="64"/>
        <v>-1709045.700392824</v>
      </c>
      <c r="O437">
        <f t="shared" si="65"/>
        <v>188203.51262578802</v>
      </c>
      <c r="P437">
        <f t="shared" si="66"/>
        <v>-1387450.4299678262</v>
      </c>
    </row>
    <row r="438" spans="2:16" ht="15">
      <c r="B438">
        <f t="shared" si="67"/>
        <v>21.45000000000017</v>
      </c>
      <c r="C438">
        <f>IF(Eingabe_Ausgabe!$B$13=1,Berechnung!C437,C437+G437*B438)</f>
        <v>41.00026417135857</v>
      </c>
      <c r="D438">
        <f>IF(Eingabe_Ausgabe!$B$13=1,Berechnung!D437+dt*g,D437+H437*B438)</f>
        <v>-442.94855279454794</v>
      </c>
      <c r="E438">
        <f>0.5*roh_luft*Eingabe_Ausgabe!$B$7*(C438*C438+D438*D438)</f>
        <v>14009097.68213135</v>
      </c>
      <c r="F438">
        <f t="shared" si="60"/>
        <v>-1.4784971898737709</v>
      </c>
      <c r="G438">
        <f>IF(Eingabe_Ausgabe!$B$13=1,0,-COS(F438)*E438/m)</f>
        <v>0</v>
      </c>
      <c r="H438">
        <f>IF(Eingabe_Ausgabe!$B$13=1,g,g-SIN(F438)*E438/m)</f>
        <v>-9.81</v>
      </c>
      <c r="I438" s="4">
        <f t="shared" si="69"/>
        <v>0</v>
      </c>
      <c r="J438" s="4">
        <f t="shared" si="68"/>
        <v>0</v>
      </c>
      <c r="K438">
        <f t="shared" si="61"/>
        <v>0</v>
      </c>
      <c r="L438">
        <f t="shared" si="62"/>
        <v>-84.71164900171938</v>
      </c>
      <c r="M438">
        <f t="shared" si="63"/>
        <v>189082.96829226366</v>
      </c>
      <c r="N438">
        <f t="shared" si="64"/>
        <v>-1718546.946850267</v>
      </c>
      <c r="O438">
        <f t="shared" si="65"/>
        <v>189082.96829226366</v>
      </c>
      <c r="P438">
        <f t="shared" si="66"/>
        <v>-1394694.8736627693</v>
      </c>
    </row>
    <row r="439" spans="2:16" ht="15">
      <c r="B439">
        <f t="shared" si="67"/>
        <v>21.50000000000017</v>
      </c>
      <c r="C439">
        <f>IF(Eingabe_Ausgabe!$B$13=1,Berechnung!C438,C438+G438*B439)</f>
        <v>41.00026417135857</v>
      </c>
      <c r="D439">
        <f>IF(Eingabe_Ausgabe!$B$13=1,Berechnung!D438+dt*g,D438+H438*B439)</f>
        <v>-443.43905279454793</v>
      </c>
      <c r="E439">
        <f>0.5*roh_luft*Eingabe_Ausgabe!$B$7*(C439*C439+D439*D439)</f>
        <v>14039877.15651073</v>
      </c>
      <c r="F439">
        <f t="shared" si="60"/>
        <v>-1.4785987065627206</v>
      </c>
      <c r="G439">
        <f>IF(Eingabe_Ausgabe!$B$13=1,0,-COS(F439)*E439/m)</f>
        <v>0</v>
      </c>
      <c r="H439">
        <f>IF(Eingabe_Ausgabe!$B$13=1,g,g-SIN(F439)*E439/m)</f>
        <v>-9.81</v>
      </c>
      <c r="I439" s="4">
        <f t="shared" si="69"/>
        <v>0</v>
      </c>
      <c r="J439" s="4">
        <f t="shared" si="68"/>
        <v>0</v>
      </c>
      <c r="K439">
        <f t="shared" si="61"/>
        <v>0</v>
      </c>
      <c r="L439">
        <f t="shared" si="62"/>
        <v>-84.71746547954635</v>
      </c>
      <c r="M439">
        <f t="shared" si="63"/>
        <v>189964.47397194788</v>
      </c>
      <c r="N439">
        <f t="shared" si="64"/>
        <v>-1728080.8864853499</v>
      </c>
      <c r="O439">
        <f t="shared" si="65"/>
        <v>189964.47397194788</v>
      </c>
      <c r="P439">
        <f t="shared" si="66"/>
        <v>-1401961.477047852</v>
      </c>
    </row>
    <row r="440" spans="2:16" ht="15">
      <c r="B440">
        <f t="shared" si="67"/>
        <v>21.55000000000017</v>
      </c>
      <c r="C440">
        <f>IF(Eingabe_Ausgabe!$B$13=1,Berechnung!C439,C439+G439*B440)</f>
        <v>41.00026417135857</v>
      </c>
      <c r="D440">
        <f>IF(Eingabe_Ausgabe!$B$13=1,Berechnung!D439+dt*g,D439+H439*B440)</f>
        <v>-443.92955279454793</v>
      </c>
      <c r="E440">
        <f>0.5*roh_luft*Eingabe_Ausgabe!$B$7*(C440*C440+D440*D440)</f>
        <v>14070690.695744103</v>
      </c>
      <c r="F440">
        <f t="shared" si="60"/>
        <v>-1.478700000818506</v>
      </c>
      <c r="G440">
        <f>IF(Eingabe_Ausgabe!$B$13=1,0,-COS(F440)*E440/m)</f>
        <v>0</v>
      </c>
      <c r="H440">
        <f>IF(Eingabe_Ausgabe!$B$13=1,g,g-SIN(F440)*E440/m)</f>
        <v>-9.81</v>
      </c>
      <c r="I440" s="4">
        <f t="shared" si="69"/>
        <v>0</v>
      </c>
      <c r="J440" s="4">
        <f t="shared" si="68"/>
        <v>0</v>
      </c>
      <c r="K440">
        <f t="shared" si="61"/>
        <v>0</v>
      </c>
      <c r="L440">
        <f t="shared" si="62"/>
        <v>-84.72326921289178</v>
      </c>
      <c r="M440">
        <f t="shared" si="63"/>
        <v>190848.02966484067</v>
      </c>
      <c r="N440">
        <f t="shared" si="64"/>
        <v>-1737647.5683480725</v>
      </c>
      <c r="O440">
        <f t="shared" si="65"/>
        <v>190848.02966484067</v>
      </c>
      <c r="P440">
        <f t="shared" si="66"/>
        <v>-1409250.2646480747</v>
      </c>
    </row>
    <row r="441" spans="2:16" ht="15">
      <c r="B441">
        <f t="shared" si="67"/>
        <v>21.600000000000172</v>
      </c>
      <c r="C441">
        <f>IF(Eingabe_Ausgabe!$B$13=1,Berechnung!C440,C440+G440*B441)</f>
        <v>41.00026417135857</v>
      </c>
      <c r="D441">
        <f>IF(Eingabe_Ausgabe!$B$13=1,Berechnung!D440+dt*g,D440+H440*B441)</f>
        <v>-444.4200527945479</v>
      </c>
      <c r="E441">
        <f>0.5*roh_luft*Eingabe_Ausgabe!$B$7*(C441*C441+D441*D441)</f>
        <v>14101538.299831469</v>
      </c>
      <c r="F441">
        <f t="shared" si="60"/>
        <v>-1.4788010733693155</v>
      </c>
      <c r="G441">
        <f>IF(Eingabe_Ausgabe!$B$13=1,0,-COS(F441)*E441/m)</f>
        <v>0</v>
      </c>
      <c r="H441">
        <f>IF(Eingabe_Ausgabe!$B$13=1,g,g-SIN(F441)*E441/m)</f>
        <v>-9.81</v>
      </c>
      <c r="I441" s="4">
        <f t="shared" si="69"/>
        <v>0</v>
      </c>
      <c r="J441" s="4">
        <f t="shared" si="68"/>
        <v>0</v>
      </c>
      <c r="K441">
        <f t="shared" si="61"/>
        <v>0</v>
      </c>
      <c r="L441">
        <f t="shared" si="62"/>
        <v>-84.72906024347778</v>
      </c>
      <c r="M441">
        <f t="shared" si="63"/>
        <v>191733.635370942</v>
      </c>
      <c r="N441">
        <f t="shared" si="64"/>
        <v>-1747247.041488435</v>
      </c>
      <c r="O441">
        <f t="shared" si="65"/>
        <v>191733.635370942</v>
      </c>
      <c r="P441">
        <f t="shared" si="66"/>
        <v>-1416561.260988437</v>
      </c>
    </row>
    <row r="442" spans="2:16" ht="15">
      <c r="B442">
        <f t="shared" si="67"/>
        <v>21.650000000000173</v>
      </c>
      <c r="C442">
        <f>IF(Eingabe_Ausgabe!$B$13=1,Berechnung!C441,C441+G441*B442)</f>
        <v>41.00026417135857</v>
      </c>
      <c r="D442">
        <f>IF(Eingabe_Ausgabe!$B$13=1,Berechnung!D441+dt*g,D441+H441*B442)</f>
        <v>-444.9105527945479</v>
      </c>
      <c r="E442">
        <f>0.5*roh_luft*Eingabe_Ausgabe!$B$7*(C442*C442+D442*D442)</f>
        <v>14132419.96877283</v>
      </c>
      <c r="F442">
        <f t="shared" si="60"/>
        <v>-1.478901924940171</v>
      </c>
      <c r="G442">
        <f>IF(Eingabe_Ausgabe!$B$13=1,0,-COS(F442)*E442/m)</f>
        <v>0</v>
      </c>
      <c r="H442">
        <f>IF(Eingabe_Ausgabe!$B$13=1,g,g-SIN(F442)*E442/m)</f>
        <v>-9.81</v>
      </c>
      <c r="I442" s="4">
        <f t="shared" si="69"/>
        <v>0</v>
      </c>
      <c r="J442" s="4">
        <f t="shared" si="68"/>
        <v>0</v>
      </c>
      <c r="K442">
        <f t="shared" si="61"/>
        <v>0</v>
      </c>
      <c r="L442">
        <f t="shared" si="62"/>
        <v>-84.73483861284505</v>
      </c>
      <c r="M442">
        <f t="shared" si="63"/>
        <v>192621.29109025194</v>
      </c>
      <c r="N442">
        <f t="shared" si="64"/>
        <v>-1756879.354956437</v>
      </c>
      <c r="O442">
        <f t="shared" si="65"/>
        <v>192621.29109025194</v>
      </c>
      <c r="P442">
        <f t="shared" si="66"/>
        <v>-1423894.490593939</v>
      </c>
    </row>
    <row r="443" spans="2:16" ht="15">
      <c r="B443">
        <f t="shared" si="67"/>
        <v>21.700000000000173</v>
      </c>
      <c r="C443">
        <f>IF(Eingabe_Ausgabe!$B$13=1,Berechnung!C442,C442+G442*B443)</f>
        <v>41.00026417135857</v>
      </c>
      <c r="D443">
        <f>IF(Eingabe_Ausgabe!$B$13=1,Berechnung!D442+dt*g,D442+H442*B443)</f>
        <v>-445.4010527945479</v>
      </c>
      <c r="E443">
        <f>0.5*roh_luft*Eingabe_Ausgabe!$B$7*(C443*C443+D443*D443)</f>
        <v>14163335.702568185</v>
      </c>
      <c r="F443">
        <f t="shared" si="60"/>
        <v>-1.479002556252945</v>
      </c>
      <c r="G443">
        <f>IF(Eingabe_Ausgabe!$B$13=1,0,-COS(F443)*E443/m)</f>
        <v>0</v>
      </c>
      <c r="H443">
        <f>IF(Eingabe_Ausgabe!$B$13=1,g,g-SIN(F443)*E443/m)</f>
        <v>-9.81</v>
      </c>
      <c r="I443" s="4">
        <f t="shared" si="69"/>
        <v>0</v>
      </c>
      <c r="J443" s="4">
        <f t="shared" si="68"/>
        <v>0</v>
      </c>
      <c r="K443">
        <f t="shared" si="61"/>
        <v>0</v>
      </c>
      <c r="L443">
        <f t="shared" si="62"/>
        <v>-84.74060436235386</v>
      </c>
      <c r="M443">
        <f t="shared" si="63"/>
        <v>193510.99682277042</v>
      </c>
      <c r="N443">
        <f t="shared" si="64"/>
        <v>-1766544.5578020788</v>
      </c>
      <c r="O443">
        <f t="shared" si="65"/>
        <v>193510.99682277042</v>
      </c>
      <c r="P443">
        <f t="shared" si="66"/>
        <v>-1431249.977989581</v>
      </c>
    </row>
    <row r="444" spans="2:16" ht="15">
      <c r="B444">
        <f t="shared" si="67"/>
        <v>21.750000000000174</v>
      </c>
      <c r="C444">
        <f>IF(Eingabe_Ausgabe!$B$13=1,Berechnung!C443,C443+G443*B444)</f>
        <v>41.00026417135857</v>
      </c>
      <c r="D444">
        <f>IF(Eingabe_Ausgabe!$B$13=1,Berechnung!D443+dt*g,D443+H443*B444)</f>
        <v>-445.8915527945479</v>
      </c>
      <c r="E444">
        <f>0.5*roh_luft*Eingabe_Ausgabe!$B$7*(C444*C444+D444*D444)</f>
        <v>14194285.501217533</v>
      </c>
      <c r="F444">
        <f t="shared" si="60"/>
        <v>-1.479102968026379</v>
      </c>
      <c r="G444">
        <f>IF(Eingabe_Ausgabe!$B$13=1,0,-COS(F444)*E444/m)</f>
        <v>0</v>
      </c>
      <c r="H444">
        <f>IF(Eingabe_Ausgabe!$B$13=1,g,g-SIN(F444)*E444/m)</f>
        <v>-9.81</v>
      </c>
      <c r="I444" s="4">
        <f t="shared" si="69"/>
        <v>0</v>
      </c>
      <c r="J444" s="4">
        <f t="shared" si="68"/>
        <v>0</v>
      </c>
      <c r="K444">
        <f t="shared" si="61"/>
        <v>0</v>
      </c>
      <c r="L444">
        <f t="shared" si="62"/>
        <v>-84.74635753318506</v>
      </c>
      <c r="M444">
        <f t="shared" si="63"/>
        <v>194402.75256849747</v>
      </c>
      <c r="N444">
        <f t="shared" si="64"/>
        <v>-1776242.6990753603</v>
      </c>
      <c r="O444">
        <f t="shared" si="65"/>
        <v>194402.75256849747</v>
      </c>
      <c r="P444">
        <f t="shared" si="66"/>
        <v>-1438627.7477003625</v>
      </c>
    </row>
    <row r="445" spans="2:16" ht="15">
      <c r="B445">
        <f t="shared" si="67"/>
        <v>21.800000000000175</v>
      </c>
      <c r="C445">
        <f>IF(Eingabe_Ausgabe!$B$13=1,Berechnung!C444,C444+G444*B445)</f>
        <v>41.00026417135857</v>
      </c>
      <c r="D445">
        <f>IF(Eingabe_Ausgabe!$B$13=1,Berechnung!D444+dt*g,D444+H444*B445)</f>
        <v>-446.3820527945479</v>
      </c>
      <c r="E445">
        <f>0.5*roh_luft*Eingabe_Ausgabe!$B$7*(C445*C445+D445*D445)</f>
        <v>14225269.364720875</v>
      </c>
      <c r="F445">
        <f t="shared" si="60"/>
        <v>-1.4792031609760994</v>
      </c>
      <c r="G445">
        <f>IF(Eingabe_Ausgabe!$B$13=1,0,-COS(F445)*E445/m)</f>
        <v>0</v>
      </c>
      <c r="H445">
        <f>IF(Eingabe_Ausgabe!$B$13=1,g,g-SIN(F445)*E445/m)</f>
        <v>-9.81</v>
      </c>
      <c r="I445" s="4">
        <f t="shared" si="69"/>
        <v>0</v>
      </c>
      <c r="J445" s="4">
        <f t="shared" si="68"/>
        <v>0</v>
      </c>
      <c r="K445">
        <f t="shared" si="61"/>
        <v>0</v>
      </c>
      <c r="L445">
        <f t="shared" si="62"/>
        <v>-84.75209816634101</v>
      </c>
      <c r="M445">
        <f t="shared" si="63"/>
        <v>195296.5583274331</v>
      </c>
      <c r="N445">
        <f t="shared" si="64"/>
        <v>-1785973.8278262815</v>
      </c>
      <c r="O445">
        <f t="shared" si="65"/>
        <v>195296.5583274331</v>
      </c>
      <c r="P445">
        <f t="shared" si="66"/>
        <v>-1446027.8242512837</v>
      </c>
    </row>
    <row r="446" spans="2:16" ht="15">
      <c r="B446">
        <f t="shared" si="67"/>
        <v>21.850000000000176</v>
      </c>
      <c r="C446">
        <f>IF(Eingabe_Ausgabe!$B$13=1,Berechnung!C445,C445+G445*B446)</f>
        <v>41.00026417135857</v>
      </c>
      <c r="D446">
        <f>IF(Eingabe_Ausgabe!$B$13=1,Berechnung!D445+dt*g,D445+H445*B446)</f>
        <v>-446.8725527945479</v>
      </c>
      <c r="E446">
        <f>0.5*roh_luft*Eingabe_Ausgabe!$B$7*(C446*C446+D446*D446)</f>
        <v>14256287.29307821</v>
      </c>
      <c r="F446">
        <f t="shared" si="60"/>
        <v>-1.4793031358146342</v>
      </c>
      <c r="G446">
        <f>IF(Eingabe_Ausgabe!$B$13=1,0,-COS(F446)*E446/m)</f>
        <v>0</v>
      </c>
      <c r="H446">
        <f>IF(Eingabe_Ausgabe!$B$13=1,g,g-SIN(F446)*E446/m)</f>
        <v>-9.81</v>
      </c>
      <c r="I446" s="4">
        <f t="shared" si="69"/>
        <v>0</v>
      </c>
      <c r="J446" s="4">
        <f t="shared" si="68"/>
        <v>0</v>
      </c>
      <c r="K446">
        <f t="shared" si="61"/>
        <v>0</v>
      </c>
      <c r="L446">
        <f t="shared" si="62"/>
        <v>-84.75782630264656</v>
      </c>
      <c r="M446">
        <f t="shared" si="63"/>
        <v>196192.4140995773</v>
      </c>
      <c r="N446">
        <f t="shared" si="64"/>
        <v>-1795737.9931048425</v>
      </c>
      <c r="O446">
        <f t="shared" si="65"/>
        <v>196192.4140995773</v>
      </c>
      <c r="P446">
        <f t="shared" si="66"/>
        <v>-1453450.2321673448</v>
      </c>
    </row>
    <row r="447" spans="2:16" ht="15">
      <c r="B447">
        <f t="shared" si="67"/>
        <v>21.900000000000176</v>
      </c>
      <c r="C447">
        <f>IF(Eingabe_Ausgabe!$B$13=1,Berechnung!C446,C446+G446*B447)</f>
        <v>41.00026417135857</v>
      </c>
      <c r="D447">
        <f>IF(Eingabe_Ausgabe!$B$13=1,Berechnung!D446+dt*g,D446+H446*B447)</f>
        <v>-447.3630527945479</v>
      </c>
      <c r="E447">
        <f>0.5*roh_luft*Eingabe_Ausgabe!$B$7*(C447*C447+D447*D447)</f>
        <v>14287339.28628954</v>
      </c>
      <c r="F447">
        <f t="shared" si="60"/>
        <v>-1.4794028932514303</v>
      </c>
      <c r="G447">
        <f>IF(Eingabe_Ausgabe!$B$13=1,0,-COS(F447)*E447/m)</f>
        <v>0</v>
      </c>
      <c r="H447">
        <f>IF(Eingabe_Ausgabe!$B$13=1,g,g-SIN(F447)*E447/m)</f>
        <v>-9.81</v>
      </c>
      <c r="I447" s="4">
        <f t="shared" si="69"/>
        <v>0</v>
      </c>
      <c r="J447" s="4">
        <f t="shared" si="68"/>
        <v>0</v>
      </c>
      <c r="K447">
        <f t="shared" si="61"/>
        <v>0</v>
      </c>
      <c r="L447">
        <f t="shared" si="62"/>
        <v>-84.76354198275001</v>
      </c>
      <c r="M447">
        <f t="shared" si="63"/>
        <v>197090.31988493004</v>
      </c>
      <c r="N447">
        <f t="shared" si="64"/>
        <v>-1805535.2439610432</v>
      </c>
      <c r="O447">
        <f t="shared" si="65"/>
        <v>197090.31988493004</v>
      </c>
      <c r="P447">
        <f t="shared" si="66"/>
        <v>-1460894.9959735456</v>
      </c>
    </row>
    <row r="448" spans="2:16" ht="15">
      <c r="B448">
        <f t="shared" si="67"/>
        <v>21.950000000000177</v>
      </c>
      <c r="C448">
        <f>IF(Eingabe_Ausgabe!$B$13=1,Berechnung!C447,C447+G447*B448)</f>
        <v>41.00026417135857</v>
      </c>
      <c r="D448">
        <f>IF(Eingabe_Ausgabe!$B$13=1,Berechnung!D447+dt*g,D447+H447*B448)</f>
        <v>-447.8535527945479</v>
      </c>
      <c r="E448">
        <f>0.5*roh_luft*Eingabe_Ausgabe!$B$7*(C448*C448+D448*D448)</f>
        <v>14318425.344354862</v>
      </c>
      <c r="F448">
        <f t="shared" si="60"/>
        <v>-1.4795024339928695</v>
      </c>
      <c r="G448">
        <f>IF(Eingabe_Ausgabe!$B$13=1,0,-COS(F448)*E448/m)</f>
        <v>0</v>
      </c>
      <c r="H448">
        <f>IF(Eingabe_Ausgabe!$B$13=1,g,g-SIN(F448)*E448/m)</f>
        <v>-9.81</v>
      </c>
      <c r="I448" s="4">
        <f t="shared" si="69"/>
        <v>0</v>
      </c>
      <c r="J448" s="4">
        <f t="shared" si="68"/>
        <v>0</v>
      </c>
      <c r="K448">
        <f t="shared" si="61"/>
        <v>0</v>
      </c>
      <c r="L448">
        <f t="shared" si="62"/>
        <v>-84.76924524712409</v>
      </c>
      <c r="M448">
        <f t="shared" si="63"/>
        <v>197990.27568349137</v>
      </c>
      <c r="N448">
        <f t="shared" si="64"/>
        <v>-1815365.6294448837</v>
      </c>
      <c r="O448">
        <f t="shared" si="65"/>
        <v>197990.27568349137</v>
      </c>
      <c r="P448">
        <f t="shared" si="66"/>
        <v>-1468362.140194886</v>
      </c>
    </row>
    <row r="449" spans="2:16" ht="15">
      <c r="B449">
        <f t="shared" si="67"/>
        <v>22.000000000000178</v>
      </c>
      <c r="C449">
        <f>IF(Eingabe_Ausgabe!$B$13=1,Berechnung!C448,C448+G448*B449)</f>
        <v>41.00026417135857</v>
      </c>
      <c r="D449">
        <f>IF(Eingabe_Ausgabe!$B$13=1,Berechnung!D448+dt*g,D448+H448*B449)</f>
        <v>-448.3440527945479</v>
      </c>
      <c r="E449">
        <f>0.5*roh_luft*Eingabe_Ausgabe!$B$7*(C449*C449+D449*D449)</f>
        <v>14349545.467274178</v>
      </c>
      <c r="F449">
        <f t="shared" si="60"/>
        <v>-1.4796017587422858</v>
      </c>
      <c r="G449">
        <f>IF(Eingabe_Ausgabe!$B$13=1,0,-COS(F449)*E449/m)</f>
        <v>0</v>
      </c>
      <c r="H449">
        <f>IF(Eingabe_Ausgabe!$B$13=1,g,g-SIN(F449)*E449/m)</f>
        <v>-9.81</v>
      </c>
      <c r="I449" s="4">
        <f t="shared" si="69"/>
        <v>0</v>
      </c>
      <c r="J449" s="4">
        <f t="shared" si="68"/>
        <v>0</v>
      </c>
      <c r="K449">
        <f t="shared" si="61"/>
        <v>0</v>
      </c>
      <c r="L449">
        <f t="shared" si="62"/>
        <v>-84.77493613606683</v>
      </c>
      <c r="M449">
        <f t="shared" si="63"/>
        <v>198892.28149526127</v>
      </c>
      <c r="N449">
        <f t="shared" si="64"/>
        <v>-1825229.1986063637</v>
      </c>
      <c r="O449">
        <f t="shared" si="65"/>
        <v>198892.28149526127</v>
      </c>
      <c r="P449">
        <f t="shared" si="66"/>
        <v>-1475851.689356366</v>
      </c>
    </row>
    <row r="450" spans="2:16" ht="15">
      <c r="B450">
        <f t="shared" si="67"/>
        <v>22.05000000000018</v>
      </c>
      <c r="C450">
        <f>IF(Eingabe_Ausgabe!$B$13=1,Berechnung!C449,C449+G449*B450)</f>
        <v>41.00026417135857</v>
      </c>
      <c r="D450">
        <f>IF(Eingabe_Ausgabe!$B$13=1,Berechnung!D449+dt*g,D449+H449*B450)</f>
        <v>-448.8345527945479</v>
      </c>
      <c r="E450">
        <f>0.5*roh_luft*Eingabe_Ausgabe!$B$7*(C450*C450+D450*D450)</f>
        <v>14380699.65504749</v>
      </c>
      <c r="F450">
        <f t="shared" si="60"/>
        <v>-1.4797008681999804</v>
      </c>
      <c r="G450">
        <f>IF(Eingabe_Ausgabe!$B$13=1,0,-COS(F450)*E450/m)</f>
        <v>0</v>
      </c>
      <c r="H450">
        <f>IF(Eingabe_Ausgabe!$B$13=1,g,g-SIN(F450)*E450/m)</f>
        <v>-9.81</v>
      </c>
      <c r="I450" s="4">
        <f t="shared" si="69"/>
        <v>0</v>
      </c>
      <c r="J450" s="4">
        <f t="shared" si="68"/>
        <v>0</v>
      </c>
      <c r="K450">
        <f t="shared" si="61"/>
        <v>0</v>
      </c>
      <c r="L450">
        <f t="shared" si="62"/>
        <v>-84.78061468970256</v>
      </c>
      <c r="M450">
        <f t="shared" si="63"/>
        <v>199796.33732023972</v>
      </c>
      <c r="N450">
        <f t="shared" si="64"/>
        <v>-1835126.0004954836</v>
      </c>
      <c r="O450">
        <f t="shared" si="65"/>
        <v>199796.33732023972</v>
      </c>
      <c r="P450">
        <f t="shared" si="66"/>
        <v>-1483363.667982986</v>
      </c>
    </row>
    <row r="451" spans="2:16" ht="15">
      <c r="B451">
        <f t="shared" si="67"/>
        <v>22.10000000000018</v>
      </c>
      <c r="C451">
        <f>IF(Eingabe_Ausgabe!$B$13=1,Berechnung!C450,C450+G450*B451)</f>
        <v>41.00026417135857</v>
      </c>
      <c r="D451">
        <f>IF(Eingabe_Ausgabe!$B$13=1,Berechnung!D450+dt*g,D450+H450*B451)</f>
        <v>-449.3250527945479</v>
      </c>
      <c r="E451">
        <f>0.5*roh_luft*Eingabe_Ausgabe!$B$7*(C451*C451+D451*D451)</f>
        <v>14411887.907674791</v>
      </c>
      <c r="F451">
        <f t="shared" si="60"/>
        <v>-1.4797997630632396</v>
      </c>
      <c r="G451">
        <f>IF(Eingabe_Ausgabe!$B$13=1,0,-COS(F451)*E451/m)</f>
        <v>0</v>
      </c>
      <c r="H451">
        <f>IF(Eingabe_Ausgabe!$B$13=1,g,g-SIN(F451)*E451/m)</f>
        <v>-9.81</v>
      </c>
      <c r="I451" s="4">
        <f t="shared" si="69"/>
        <v>0</v>
      </c>
      <c r="J451" s="4">
        <f t="shared" si="68"/>
        <v>0</v>
      </c>
      <c r="K451">
        <f t="shared" si="61"/>
        <v>0</v>
      </c>
      <c r="L451">
        <f t="shared" si="62"/>
        <v>-84.78628094798283</v>
      </c>
      <c r="M451">
        <f t="shared" si="63"/>
        <v>200702.44315842676</v>
      </c>
      <c r="N451">
        <f t="shared" si="64"/>
        <v>-1845056.0841622432</v>
      </c>
      <c r="O451">
        <f t="shared" si="65"/>
        <v>200702.44315842676</v>
      </c>
      <c r="P451">
        <f t="shared" si="66"/>
        <v>-1490898.1005997455</v>
      </c>
    </row>
    <row r="452" spans="2:16" ht="15">
      <c r="B452">
        <f t="shared" si="67"/>
        <v>22.15000000000018</v>
      </c>
      <c r="C452">
        <f>IF(Eingabe_Ausgabe!$B$13=1,Berechnung!C451,C451+G451*B452)</f>
        <v>41.00026417135857</v>
      </c>
      <c r="D452">
        <f>IF(Eingabe_Ausgabe!$B$13=1,Berechnung!D451+dt*g,D451+H451*B452)</f>
        <v>-449.8155527945479</v>
      </c>
      <c r="E452">
        <f>0.5*roh_luft*Eingabe_Ausgabe!$B$7*(C452*C452+D452*D452)</f>
        <v>14443110.22515609</v>
      </c>
      <c r="F452">
        <f t="shared" si="60"/>
        <v>-1.4798984440263498</v>
      </c>
      <c r="G452">
        <f>IF(Eingabe_Ausgabe!$B$13=1,0,-COS(F452)*E452/m)</f>
        <v>0</v>
      </c>
      <c r="H452">
        <f>IF(Eingabe_Ausgabe!$B$13=1,g,g-SIN(F452)*E452/m)</f>
        <v>-9.81</v>
      </c>
      <c r="I452" s="4">
        <f t="shared" si="69"/>
        <v>0</v>
      </c>
      <c r="J452" s="4">
        <f t="shared" si="68"/>
        <v>0</v>
      </c>
      <c r="K452">
        <f t="shared" si="61"/>
        <v>0</v>
      </c>
      <c r="L452">
        <f t="shared" si="62"/>
        <v>-84.79193495068735</v>
      </c>
      <c r="M452">
        <f t="shared" si="63"/>
        <v>201610.59900982236</v>
      </c>
      <c r="N452">
        <f t="shared" si="64"/>
        <v>-1855019.4986566424</v>
      </c>
      <c r="O452">
        <f t="shared" si="65"/>
        <v>201610.59900982236</v>
      </c>
      <c r="P452">
        <f t="shared" si="66"/>
        <v>-1498455.0117316449</v>
      </c>
    </row>
    <row r="453" spans="2:16" ht="15">
      <c r="B453">
        <f t="shared" si="67"/>
        <v>22.20000000000018</v>
      </c>
      <c r="C453">
        <f>IF(Eingabe_Ausgabe!$B$13=1,Berechnung!C452,C452+G452*B453)</f>
        <v>41.00026417135857</v>
      </c>
      <c r="D453">
        <f>IF(Eingabe_Ausgabe!$B$13=1,Berechnung!D452+dt*g,D452+H452*B453)</f>
        <v>-450.3060527945479</v>
      </c>
      <c r="E453">
        <f>0.5*roh_luft*Eingabe_Ausgabe!$B$7*(C453*C453+D453*D453)</f>
        <v>14474366.607491381</v>
      </c>
      <c r="F453">
        <f t="shared" si="60"/>
        <v>-1.479996911780614</v>
      </c>
      <c r="G453">
        <f>IF(Eingabe_Ausgabe!$B$13=1,0,-COS(F453)*E453/m)</f>
        <v>0</v>
      </c>
      <c r="H453">
        <f>IF(Eingabe_Ausgabe!$B$13=1,g,g-SIN(F453)*E453/m)</f>
        <v>-9.81</v>
      </c>
      <c r="I453" s="4">
        <f t="shared" si="69"/>
        <v>0</v>
      </c>
      <c r="J453" s="4">
        <f t="shared" si="68"/>
        <v>0</v>
      </c>
      <c r="K453">
        <f t="shared" si="61"/>
        <v>0</v>
      </c>
      <c r="L453">
        <f t="shared" si="62"/>
        <v>-84.7975767374248</v>
      </c>
      <c r="M453">
        <f t="shared" si="63"/>
        <v>202520.8048744265</v>
      </c>
      <c r="N453">
        <f t="shared" si="64"/>
        <v>-1865016.2930286815</v>
      </c>
      <c r="O453">
        <f t="shared" si="65"/>
        <v>202520.8048744265</v>
      </c>
      <c r="P453">
        <f t="shared" si="66"/>
        <v>-1506034.425903684</v>
      </c>
    </row>
    <row r="454" spans="2:16" ht="15">
      <c r="B454">
        <f t="shared" si="67"/>
        <v>22.25000000000018</v>
      </c>
      <c r="C454">
        <f>IF(Eingabe_Ausgabe!$B$13=1,Berechnung!C453,C453+G453*B454)</f>
        <v>41.00026417135857</v>
      </c>
      <c r="D454">
        <f>IF(Eingabe_Ausgabe!$B$13=1,Berechnung!D453+dt*g,D453+H453*B454)</f>
        <v>-450.7965527945479</v>
      </c>
      <c r="E454">
        <f>0.5*roh_luft*Eingabe_Ausgabe!$B$7*(C454*C454+D454*D454)</f>
        <v>14505657.054680664</v>
      </c>
      <c r="F454">
        <f t="shared" si="60"/>
        <v>-1.4800951670143678</v>
      </c>
      <c r="G454">
        <f>IF(Eingabe_Ausgabe!$B$13=1,0,-COS(F454)*E454/m)</f>
        <v>0</v>
      </c>
      <c r="H454">
        <f>IF(Eingabe_Ausgabe!$B$13=1,g,g-SIN(F454)*E454/m)</f>
        <v>-9.81</v>
      </c>
      <c r="I454" s="4">
        <f t="shared" si="69"/>
        <v>0</v>
      </c>
      <c r="J454" s="4">
        <f t="shared" si="68"/>
        <v>0</v>
      </c>
      <c r="K454">
        <f t="shared" si="61"/>
        <v>0</v>
      </c>
      <c r="L454">
        <f t="shared" si="62"/>
        <v>-84.80320634763397</v>
      </c>
      <c r="M454">
        <f t="shared" si="63"/>
        <v>203433.06075223925</v>
      </c>
      <c r="N454">
        <f t="shared" si="64"/>
        <v>-1875046.5163283604</v>
      </c>
      <c r="O454">
        <f t="shared" si="65"/>
        <v>203433.06075223925</v>
      </c>
      <c r="P454">
        <f t="shared" si="66"/>
        <v>-1513636.3676408627</v>
      </c>
    </row>
    <row r="455" spans="2:16" ht="15">
      <c r="B455">
        <f t="shared" si="67"/>
        <v>22.300000000000182</v>
      </c>
      <c r="C455">
        <f>IF(Eingabe_Ausgabe!$B$13=1,Berechnung!C454,C454+G454*B455)</f>
        <v>41.00026417135857</v>
      </c>
      <c r="D455">
        <f>IF(Eingabe_Ausgabe!$B$13=1,Berechnung!D454+dt*g,D454+H454*B455)</f>
        <v>-451.2870527945479</v>
      </c>
      <c r="E455">
        <f>0.5*roh_luft*Eingabe_Ausgabe!$B$7*(C455*C455+D455*D455)</f>
        <v>14536981.566723943</v>
      </c>
      <c r="F455">
        <f t="shared" si="60"/>
        <v>-1.4801932104129953</v>
      </c>
      <c r="G455">
        <f>IF(Eingabe_Ausgabe!$B$13=1,0,-COS(F455)*E455/m)</f>
        <v>0</v>
      </c>
      <c r="H455">
        <f>IF(Eingabe_Ausgabe!$B$13=1,g,g-SIN(F455)*E455/m)</f>
        <v>-9.81</v>
      </c>
      <c r="I455" s="4">
        <f t="shared" si="69"/>
        <v>0</v>
      </c>
      <c r="J455" s="4">
        <f t="shared" si="68"/>
        <v>0</v>
      </c>
      <c r="K455">
        <f t="shared" si="61"/>
        <v>0</v>
      </c>
      <c r="L455">
        <f t="shared" si="62"/>
        <v>-84.80882382058445</v>
      </c>
      <c r="M455">
        <f t="shared" si="63"/>
        <v>204347.36664326055</v>
      </c>
      <c r="N455">
        <f t="shared" si="64"/>
        <v>-1885110.2176056788</v>
      </c>
      <c r="O455">
        <f t="shared" si="65"/>
        <v>204347.36664326055</v>
      </c>
      <c r="P455">
        <f t="shared" si="66"/>
        <v>-1521260.8614681812</v>
      </c>
    </row>
    <row r="456" spans="2:16" ht="15">
      <c r="B456">
        <f t="shared" si="67"/>
        <v>22.350000000000183</v>
      </c>
      <c r="C456">
        <f>IF(Eingabe_Ausgabe!$B$13=1,Berechnung!C455,C455+G455*B456)</f>
        <v>41.00026417135857</v>
      </c>
      <c r="D456">
        <f>IF(Eingabe_Ausgabe!$B$13=1,Berechnung!D455+dt*g,D455+H455*B456)</f>
        <v>-451.7775527945479</v>
      </c>
      <c r="E456">
        <f>0.5*roh_luft*Eingabe_Ausgabe!$B$7*(C456*C456+D456*D456)</f>
        <v>14568340.143621216</v>
      </c>
      <c r="F456">
        <f t="shared" si="60"/>
        <v>-1.4802910426589444</v>
      </c>
      <c r="G456">
        <f>IF(Eingabe_Ausgabe!$B$13=1,0,-COS(F456)*E456/m)</f>
        <v>0</v>
      </c>
      <c r="H456">
        <f>IF(Eingabe_Ausgabe!$B$13=1,g,g-SIN(F456)*E456/m)</f>
        <v>-9.81</v>
      </c>
      <c r="I456" s="4">
        <f t="shared" si="69"/>
        <v>0</v>
      </c>
      <c r="J456" s="4">
        <f t="shared" si="68"/>
        <v>0</v>
      </c>
      <c r="K456">
        <f t="shared" si="61"/>
        <v>0</v>
      </c>
      <c r="L456">
        <f t="shared" si="62"/>
        <v>-84.81442919537761</v>
      </c>
      <c r="M456">
        <f t="shared" si="63"/>
        <v>205263.7225474904</v>
      </c>
      <c r="N456">
        <f t="shared" si="64"/>
        <v>-1895207.445910637</v>
      </c>
      <c r="O456">
        <f t="shared" si="65"/>
        <v>205263.7225474904</v>
      </c>
      <c r="P456">
        <f t="shared" si="66"/>
        <v>-1528907.9319106396</v>
      </c>
    </row>
    <row r="457" spans="2:16" ht="15">
      <c r="B457">
        <f t="shared" si="67"/>
        <v>22.400000000000183</v>
      </c>
      <c r="C457">
        <f>IF(Eingabe_Ausgabe!$B$13=1,Berechnung!C456,C456+G456*B457)</f>
        <v>41.00026417135857</v>
      </c>
      <c r="D457">
        <f>IF(Eingabe_Ausgabe!$B$13=1,Berechnung!D456+dt*g,D456+H456*B457)</f>
        <v>-452.2680527945479</v>
      </c>
      <c r="E457">
        <f>0.5*roh_luft*Eingabe_Ausgabe!$B$7*(C457*C457+D457*D457)</f>
        <v>14599732.78537248</v>
      </c>
      <c r="F457">
        <f aca="true" t="shared" si="70" ref="F457:F505">ATAN(D457/C457)</f>
        <v>-1.480388664431743</v>
      </c>
      <c r="G457">
        <f>IF(Eingabe_Ausgabe!$B$13=1,0,-COS(F457)*E457/m)</f>
        <v>0</v>
      </c>
      <c r="H457">
        <f>IF(Eingabe_Ausgabe!$B$13=1,g,g-SIN(F457)*E457/m)</f>
        <v>-9.81</v>
      </c>
      <c r="I457" s="4">
        <f t="shared" si="69"/>
        <v>0</v>
      </c>
      <c r="J457" s="4">
        <f t="shared" si="68"/>
        <v>0</v>
      </c>
      <c r="K457">
        <f t="shared" si="61"/>
        <v>0</v>
      </c>
      <c r="L457">
        <f t="shared" si="62"/>
        <v>-84.82002251094757</v>
      </c>
      <c r="M457">
        <f t="shared" si="63"/>
        <v>206182.12846492886</v>
      </c>
      <c r="N457">
        <f t="shared" si="64"/>
        <v>-1905338.250293235</v>
      </c>
      <c r="O457">
        <f t="shared" si="65"/>
        <v>206182.12846492886</v>
      </c>
      <c r="P457">
        <f t="shared" si="66"/>
        <v>-1536577.6034932376</v>
      </c>
    </row>
    <row r="458" spans="2:16" ht="15">
      <c r="B458">
        <f t="shared" si="67"/>
        <v>22.450000000000184</v>
      </c>
      <c r="C458">
        <f>IF(Eingabe_Ausgabe!$B$13=1,Berechnung!C457,C457+G457*B458)</f>
        <v>41.00026417135857</v>
      </c>
      <c r="D458">
        <f>IF(Eingabe_Ausgabe!$B$13=1,Berechnung!D457+dt*g,D457+H457*B458)</f>
        <v>-452.7585527945479</v>
      </c>
      <c r="E458">
        <f>0.5*roh_luft*Eingabe_Ausgabe!$B$7*(C458*C458+D458*D458)</f>
        <v>14631159.49197774</v>
      </c>
      <c r="F458">
        <f t="shared" si="70"/>
        <v>-1.4804860764080143</v>
      </c>
      <c r="G458">
        <f>IF(Eingabe_Ausgabe!$B$13=1,0,-COS(F458)*E458/m)</f>
        <v>0</v>
      </c>
      <c r="H458">
        <f>IF(Eingabe_Ausgabe!$B$13=1,g,g-SIN(F458)*E458/m)</f>
        <v>-9.81</v>
      </c>
      <c r="I458" s="4">
        <f t="shared" si="69"/>
        <v>0</v>
      </c>
      <c r="J458" s="4">
        <f t="shared" si="68"/>
        <v>0</v>
      </c>
      <c r="K458">
        <f aca="true" t="shared" si="71" ref="K458:K505">IF(N457&lt;=0,0,SQRT(C458*C458+D458*D458)*3.6)</f>
        <v>0</v>
      </c>
      <c r="L458">
        <f aca="true" t="shared" si="72" ref="L458:L505">DEGREES(F458)</f>
        <v>-84.82560380606193</v>
      </c>
      <c r="M458">
        <f aca="true" t="shared" si="73" ref="M458:M505">M457+C458*B458</f>
        <v>207102.58439557586</v>
      </c>
      <c r="N458">
        <f aca="true" t="shared" si="74" ref="N458:N505">N457+D458*B458</f>
        <v>-1915502.6798034727</v>
      </c>
      <c r="O458">
        <f aca="true" t="shared" si="75" ref="O458:O505">O457+$C$9*B458</f>
        <v>207102.58439557586</v>
      </c>
      <c r="P458">
        <f aca="true" t="shared" si="76" ref="P458:P505">P457+v_Anfang*SIN(alpha)*B458+g/2*B458*B458</f>
        <v>-1544269.9007409753</v>
      </c>
    </row>
    <row r="459" spans="2:16" ht="15">
      <c r="B459">
        <f aca="true" t="shared" si="77" ref="B459:B505">$B$10+B458</f>
        <v>22.500000000000185</v>
      </c>
      <c r="C459">
        <f>IF(Eingabe_Ausgabe!$B$13=1,Berechnung!C458,C458+G458*B459)</f>
        <v>41.00026417135857</v>
      </c>
      <c r="D459">
        <f>IF(Eingabe_Ausgabe!$B$13=1,Berechnung!D458+dt*g,D458+H458*B459)</f>
        <v>-453.2490527945479</v>
      </c>
      <c r="E459">
        <f>0.5*roh_luft*Eingabe_Ausgabe!$B$7*(C459*C459+D459*D459)</f>
        <v>14662620.263436994</v>
      </c>
      <c r="F459">
        <f t="shared" si="70"/>
        <v>-1.4805832792614926</v>
      </c>
      <c r="G459">
        <f>IF(Eingabe_Ausgabe!$B$13=1,0,-COS(F459)*E459/m)</f>
        <v>0</v>
      </c>
      <c r="H459">
        <f>IF(Eingabe_Ausgabe!$B$13=1,g,g-SIN(F459)*E459/m)</f>
        <v>-9.81</v>
      </c>
      <c r="I459" s="4">
        <f t="shared" si="69"/>
        <v>0</v>
      </c>
      <c r="J459" s="4">
        <f aca="true" t="shared" si="78" ref="J459:J505">IF($B$1*3.6&lt;=K459,1,0)</f>
        <v>0</v>
      </c>
      <c r="K459">
        <f t="shared" si="71"/>
        <v>0</v>
      </c>
      <c r="L459">
        <f t="shared" si="72"/>
        <v>-84.83117311932287</v>
      </c>
      <c r="M459">
        <f t="shared" si="73"/>
        <v>208025.09033943142</v>
      </c>
      <c r="N459">
        <f t="shared" si="74"/>
        <v>-1925700.78349135</v>
      </c>
      <c r="O459">
        <f t="shared" si="75"/>
        <v>208025.09033943142</v>
      </c>
      <c r="P459">
        <f t="shared" si="76"/>
        <v>-1551984.8481788526</v>
      </c>
    </row>
    <row r="460" spans="2:16" ht="15">
      <c r="B460">
        <f t="shared" si="77"/>
        <v>22.550000000000185</v>
      </c>
      <c r="C460">
        <f>IF(Eingabe_Ausgabe!$B$13=1,Berechnung!C459,C459+G459*B460)</f>
        <v>41.00026417135857</v>
      </c>
      <c r="D460">
        <f>IF(Eingabe_Ausgabe!$B$13=1,Berechnung!D459+dt*g,D459+H459*B460)</f>
        <v>-453.7395527945479</v>
      </c>
      <c r="E460">
        <f>0.5*roh_luft*Eingabe_Ausgabe!$B$7*(C460*C460+D460*D460)</f>
        <v>14694115.099750238</v>
      </c>
      <c r="F460">
        <f t="shared" si="70"/>
        <v>-1.480680273663038</v>
      </c>
      <c r="G460">
        <f>IF(Eingabe_Ausgabe!$B$13=1,0,-COS(F460)*E460/m)</f>
        <v>0</v>
      </c>
      <c r="H460">
        <f>IF(Eingabe_Ausgabe!$B$13=1,g,g-SIN(F460)*E460/m)</f>
        <v>-9.81</v>
      </c>
      <c r="I460" s="4">
        <f aca="true" t="shared" si="79" ref="I460:I505">IF(AND(N460&lt;=0,I459=0,N459&gt;0),1,0)</f>
        <v>0</v>
      </c>
      <c r="J460" s="4">
        <f t="shared" si="78"/>
        <v>0</v>
      </c>
      <c r="K460">
        <f t="shared" si="71"/>
        <v>0</v>
      </c>
      <c r="L460">
        <f t="shared" si="72"/>
        <v>-84.83673048916782</v>
      </c>
      <c r="M460">
        <f t="shared" si="73"/>
        <v>208949.64629649557</v>
      </c>
      <c r="N460">
        <f t="shared" si="74"/>
        <v>-1935932.6104068672</v>
      </c>
      <c r="O460">
        <f t="shared" si="75"/>
        <v>208949.64629649557</v>
      </c>
      <c r="P460">
        <f t="shared" si="76"/>
        <v>-1559722.4703318698</v>
      </c>
    </row>
    <row r="461" spans="2:16" ht="15">
      <c r="B461">
        <f t="shared" si="77"/>
        <v>22.600000000000186</v>
      </c>
      <c r="C461">
        <f>IF(Eingabe_Ausgabe!$B$13=1,Berechnung!C460,C460+G460*B461)</f>
        <v>41.00026417135857</v>
      </c>
      <c r="D461">
        <f>IF(Eingabe_Ausgabe!$B$13=1,Berechnung!D460+dt*g,D460+H460*B461)</f>
        <v>-454.2300527945479</v>
      </c>
      <c r="E461">
        <f>0.5*roh_luft*Eingabe_Ausgabe!$B$7*(C461*C461+D461*D461)</f>
        <v>14725644.000917478</v>
      </c>
      <c r="F461">
        <f t="shared" si="70"/>
        <v>-1.4807770602806523</v>
      </c>
      <c r="G461">
        <f>IF(Eingabe_Ausgabe!$B$13=1,0,-COS(F461)*E461/m)</f>
        <v>0</v>
      </c>
      <c r="H461">
        <f>IF(Eingabe_Ausgabe!$B$13=1,g,g-SIN(F461)*E461/m)</f>
        <v>-9.81</v>
      </c>
      <c r="I461" s="4">
        <f t="shared" si="79"/>
        <v>0</v>
      </c>
      <c r="J461" s="4">
        <f t="shared" si="78"/>
        <v>0</v>
      </c>
      <c r="K461">
        <f t="shared" si="71"/>
        <v>0</v>
      </c>
      <c r="L461">
        <f t="shared" si="72"/>
        <v>-84.84227595387047</v>
      </c>
      <c r="M461">
        <f t="shared" si="73"/>
        <v>209876.25226676828</v>
      </c>
      <c r="N461">
        <f t="shared" si="74"/>
        <v>-1946198.2096000242</v>
      </c>
      <c r="O461">
        <f t="shared" si="75"/>
        <v>209876.25226676828</v>
      </c>
      <c r="P461">
        <f t="shared" si="76"/>
        <v>-1567482.7917250267</v>
      </c>
    </row>
    <row r="462" spans="2:16" ht="15">
      <c r="B462">
        <f t="shared" si="77"/>
        <v>22.650000000000187</v>
      </c>
      <c r="C462">
        <f>IF(Eingabe_Ausgabe!$B$13=1,Berechnung!C461,C461+G461*B462)</f>
        <v>41.00026417135857</v>
      </c>
      <c r="D462">
        <f>IF(Eingabe_Ausgabe!$B$13=1,Berechnung!D461+dt*g,D461+H461*B462)</f>
        <v>-454.72055279454787</v>
      </c>
      <c r="E462">
        <f>0.5*roh_luft*Eingabe_Ausgabe!$B$7*(C462*C462+D462*D462)</f>
        <v>14757206.966938714</v>
      </c>
      <c r="F462">
        <f t="shared" si="70"/>
        <v>-1.4808736397794935</v>
      </c>
      <c r="G462">
        <f>IF(Eingabe_Ausgabe!$B$13=1,0,-COS(F462)*E462/m)</f>
        <v>0</v>
      </c>
      <c r="H462">
        <f>IF(Eingabe_Ausgabe!$B$13=1,g,g-SIN(F462)*E462/m)</f>
        <v>-9.81</v>
      </c>
      <c r="I462" s="4">
        <f t="shared" si="79"/>
        <v>0</v>
      </c>
      <c r="J462" s="4">
        <f t="shared" si="78"/>
        <v>0</v>
      </c>
      <c r="K462">
        <f t="shared" si="71"/>
        <v>0</v>
      </c>
      <c r="L462">
        <f t="shared" si="72"/>
        <v>-84.84780955154156</v>
      </c>
      <c r="M462">
        <f t="shared" si="73"/>
        <v>210804.90825024954</v>
      </c>
      <c r="N462">
        <f t="shared" si="74"/>
        <v>-1956497.6301208208</v>
      </c>
      <c r="O462">
        <f t="shared" si="75"/>
        <v>210804.90825024954</v>
      </c>
      <c r="P462">
        <f t="shared" si="76"/>
        <v>-1575265.8368833233</v>
      </c>
    </row>
    <row r="463" spans="2:16" ht="15">
      <c r="B463">
        <f t="shared" si="77"/>
        <v>22.700000000000188</v>
      </c>
      <c r="C463">
        <f>IF(Eingabe_Ausgabe!$B$13=1,Berechnung!C462,C462+G462*B463)</f>
        <v>41.00026417135857</v>
      </c>
      <c r="D463">
        <f>IF(Eingabe_Ausgabe!$B$13=1,Berechnung!D462+dt*g,D462+H462*B463)</f>
        <v>-455.21105279454787</v>
      </c>
      <c r="E463">
        <f>0.5*roh_luft*Eingabe_Ausgabe!$B$7*(C463*C463+D463*D463)</f>
        <v>14788803.99781394</v>
      </c>
      <c r="F463">
        <f t="shared" si="70"/>
        <v>-1.4809700128218917</v>
      </c>
      <c r="G463">
        <f>IF(Eingabe_Ausgabe!$B$13=1,0,-COS(F463)*E463/m)</f>
        <v>0</v>
      </c>
      <c r="H463">
        <f>IF(Eingabe_Ausgabe!$B$13=1,g,g-SIN(F463)*E463/m)</f>
        <v>-9.81</v>
      </c>
      <c r="I463" s="4">
        <f t="shared" si="79"/>
        <v>0</v>
      </c>
      <c r="J463" s="4">
        <f t="shared" si="78"/>
        <v>0</v>
      </c>
      <c r="K463">
        <f t="shared" si="71"/>
        <v>0</v>
      </c>
      <c r="L463">
        <f t="shared" si="72"/>
        <v>-84.85333132012981</v>
      </c>
      <c r="M463">
        <f t="shared" si="73"/>
        <v>211735.6142469394</v>
      </c>
      <c r="N463">
        <f t="shared" si="74"/>
        <v>-1966830.921019257</v>
      </c>
      <c r="O463">
        <f t="shared" si="75"/>
        <v>211735.6142469394</v>
      </c>
      <c r="P463">
        <f t="shared" si="76"/>
        <v>-1583071.6303317598</v>
      </c>
    </row>
    <row r="464" spans="2:16" ht="15">
      <c r="B464">
        <f t="shared" si="77"/>
        <v>22.75000000000019</v>
      </c>
      <c r="C464">
        <f>IF(Eingabe_Ausgabe!$B$13=1,Berechnung!C463,C463+G463*B464)</f>
        <v>41.00026417135857</v>
      </c>
      <c r="D464">
        <f>IF(Eingabe_Ausgabe!$B$13=1,Berechnung!D463+dt*g,D463+H463*B464)</f>
        <v>-455.70155279454787</v>
      </c>
      <c r="E464">
        <f>0.5*roh_luft*Eingabe_Ausgabe!$B$7*(C464*C464+D464*D464)</f>
        <v>14820435.09354316</v>
      </c>
      <c r="F464">
        <f t="shared" si="70"/>
        <v>-1.481066180067364</v>
      </c>
      <c r="G464">
        <f>IF(Eingabe_Ausgabe!$B$13=1,0,-COS(F464)*E464/m)</f>
        <v>0</v>
      </c>
      <c r="H464">
        <f>IF(Eingabe_Ausgabe!$B$13=1,g,g-SIN(F464)*E464/m)</f>
        <v>-9.81</v>
      </c>
      <c r="I464" s="4">
        <f t="shared" si="79"/>
        <v>0</v>
      </c>
      <c r="J464" s="4">
        <f t="shared" si="78"/>
        <v>0</v>
      </c>
      <c r="K464">
        <f t="shared" si="71"/>
        <v>0</v>
      </c>
      <c r="L464">
        <f t="shared" si="72"/>
        <v>-84.85884129742276</v>
      </c>
      <c r="M464">
        <f t="shared" si="73"/>
        <v>212668.3702568378</v>
      </c>
      <c r="N464">
        <f t="shared" si="74"/>
        <v>-1977198.131345333</v>
      </c>
      <c r="O464">
        <f t="shared" si="75"/>
        <v>212668.3702568378</v>
      </c>
      <c r="P464">
        <f t="shared" si="76"/>
        <v>-1590900.1965953358</v>
      </c>
    </row>
    <row r="465" spans="2:16" ht="15">
      <c r="B465">
        <f t="shared" si="77"/>
        <v>22.80000000000019</v>
      </c>
      <c r="C465">
        <f>IF(Eingabe_Ausgabe!$B$13=1,Berechnung!C464,C464+G464*B465)</f>
        <v>41.00026417135857</v>
      </c>
      <c r="D465">
        <f>IF(Eingabe_Ausgabe!$B$13=1,Berechnung!D464+dt*g,D464+H464*B465)</f>
        <v>-456.19205279454786</v>
      </c>
      <c r="E465">
        <f>0.5*roh_luft*Eingabe_Ausgabe!$B$7*(C465*C465+D465*D465)</f>
        <v>14852100.254126376</v>
      </c>
      <c r="F465">
        <f t="shared" si="70"/>
        <v>-1.481162142172628</v>
      </c>
      <c r="G465">
        <f>IF(Eingabe_Ausgabe!$B$13=1,0,-COS(F465)*E465/m)</f>
        <v>0</v>
      </c>
      <c r="H465">
        <f>IF(Eingabe_Ausgabe!$B$13=1,g,g-SIN(F465)*E465/m)</f>
        <v>-9.81</v>
      </c>
      <c r="I465" s="4">
        <f t="shared" si="79"/>
        <v>0</v>
      </c>
      <c r="J465" s="4">
        <f t="shared" si="78"/>
        <v>0</v>
      </c>
      <c r="K465">
        <f t="shared" si="71"/>
        <v>0</v>
      </c>
      <c r="L465">
        <f t="shared" si="72"/>
        <v>-84.86433952104758</v>
      </c>
      <c r="M465">
        <f t="shared" si="73"/>
        <v>213603.1762799448</v>
      </c>
      <c r="N465">
        <f t="shared" si="74"/>
        <v>-1987599.310149049</v>
      </c>
      <c r="O465">
        <f t="shared" si="75"/>
        <v>213603.1762799448</v>
      </c>
      <c r="P465">
        <f t="shared" si="76"/>
        <v>-1598751.5601990516</v>
      </c>
    </row>
    <row r="466" spans="2:16" ht="15">
      <c r="B466">
        <f t="shared" si="77"/>
        <v>22.85000000000019</v>
      </c>
      <c r="C466">
        <f>IF(Eingabe_Ausgabe!$B$13=1,Berechnung!C465,C465+G465*B466)</f>
        <v>41.00026417135857</v>
      </c>
      <c r="D466">
        <f>IF(Eingabe_Ausgabe!$B$13=1,Berechnung!D465+dt*g,D465+H465*B466)</f>
        <v>-456.68255279454786</v>
      </c>
      <c r="E466">
        <f>0.5*roh_luft*Eingabe_Ausgabe!$B$7*(C466*C466+D466*D466)</f>
        <v>14883799.479563585</v>
      </c>
      <c r="F466">
        <f t="shared" si="70"/>
        <v>-1.4812578997916184</v>
      </c>
      <c r="G466">
        <f>IF(Eingabe_Ausgabe!$B$13=1,0,-COS(F466)*E466/m)</f>
        <v>0</v>
      </c>
      <c r="H466">
        <f>IF(Eingabe_Ausgabe!$B$13=1,g,g-SIN(F466)*E466/m)</f>
        <v>-9.81</v>
      </c>
      <c r="I466" s="4">
        <f t="shared" si="79"/>
        <v>0</v>
      </c>
      <c r="J466" s="4">
        <f t="shared" si="78"/>
        <v>0</v>
      </c>
      <c r="K466">
        <f t="shared" si="71"/>
        <v>0</v>
      </c>
      <c r="L466">
        <f t="shared" si="72"/>
        <v>-84.86982602847196</v>
      </c>
      <c r="M466">
        <f t="shared" si="73"/>
        <v>214540.03231626036</v>
      </c>
      <c r="N466">
        <f t="shared" si="74"/>
        <v>-1998034.5064804044</v>
      </c>
      <c r="O466">
        <f t="shared" si="75"/>
        <v>214540.03231626036</v>
      </c>
      <c r="P466">
        <f t="shared" si="76"/>
        <v>-1606625.7456679072</v>
      </c>
    </row>
    <row r="467" spans="2:16" ht="15">
      <c r="B467">
        <f t="shared" si="77"/>
        <v>22.90000000000019</v>
      </c>
      <c r="C467">
        <f>IF(Eingabe_Ausgabe!$B$13=1,Berechnung!C466,C466+G466*B467)</f>
        <v>41.00026417135857</v>
      </c>
      <c r="D467">
        <f>IF(Eingabe_Ausgabe!$B$13=1,Berechnung!D466+dt*g,D466+H466*B467)</f>
        <v>-457.17305279454786</v>
      </c>
      <c r="E467">
        <f>0.5*roh_luft*Eingabe_Ausgabe!$B$7*(C467*C467+D467*D467)</f>
        <v>14915532.769854786</v>
      </c>
      <c r="F467">
        <f t="shared" si="70"/>
        <v>-1.4813534535755009</v>
      </c>
      <c r="G467">
        <f>IF(Eingabe_Ausgabe!$B$13=1,0,-COS(F467)*E467/m)</f>
        <v>0</v>
      </c>
      <c r="H467">
        <f>IF(Eingabe_Ausgabe!$B$13=1,g,g-SIN(F467)*E467/m)</f>
        <v>-9.81</v>
      </c>
      <c r="I467" s="4">
        <f t="shared" si="79"/>
        <v>0</v>
      </c>
      <c r="J467" s="4">
        <f t="shared" si="78"/>
        <v>0</v>
      </c>
      <c r="K467">
        <f t="shared" si="71"/>
        <v>0</v>
      </c>
      <c r="L467">
        <f t="shared" si="72"/>
        <v>-84.87530085700493</v>
      </c>
      <c r="M467">
        <f t="shared" si="73"/>
        <v>215478.93836578447</v>
      </c>
      <c r="N467">
        <f t="shared" si="74"/>
        <v>-2008503.7693893996</v>
      </c>
      <c r="O467">
        <f t="shared" si="75"/>
        <v>215478.93836578447</v>
      </c>
      <c r="P467">
        <f t="shared" si="76"/>
        <v>-1614522.7775269025</v>
      </c>
    </row>
    <row r="468" spans="2:16" ht="15">
      <c r="B468">
        <f t="shared" si="77"/>
        <v>22.95000000000019</v>
      </c>
      <c r="C468">
        <f>IF(Eingabe_Ausgabe!$B$13=1,Berechnung!C467,C467+G467*B468)</f>
        <v>41.00026417135857</v>
      </c>
      <c r="D468">
        <f>IF(Eingabe_Ausgabe!$B$13=1,Berechnung!D467+dt*g,D467+H467*B468)</f>
        <v>-457.66355279454785</v>
      </c>
      <c r="E468">
        <f>0.5*roh_luft*Eingabe_Ausgabe!$B$7*(C468*C468+D468*D468)</f>
        <v>14947300.124999981</v>
      </c>
      <c r="F468">
        <f t="shared" si="70"/>
        <v>-1.4814488041726865</v>
      </c>
      <c r="G468">
        <f>IF(Eingabe_Ausgabe!$B$13=1,0,-COS(F468)*E468/m)</f>
        <v>0</v>
      </c>
      <c r="H468">
        <f>IF(Eingabe_Ausgabe!$B$13=1,g,g-SIN(F468)*E468/m)</f>
        <v>-9.81</v>
      </c>
      <c r="I468" s="4">
        <f t="shared" si="79"/>
        <v>0</v>
      </c>
      <c r="J468" s="4">
        <f t="shared" si="78"/>
        <v>0</v>
      </c>
      <c r="K468">
        <f t="shared" si="71"/>
        <v>0</v>
      </c>
      <c r="L468">
        <f t="shared" si="72"/>
        <v>-84.88076404379773</v>
      </c>
      <c r="M468">
        <f t="shared" si="73"/>
        <v>216419.89442851717</v>
      </c>
      <c r="N468">
        <f t="shared" si="74"/>
        <v>-2019007.1479260344</v>
      </c>
      <c r="O468">
        <f t="shared" si="75"/>
        <v>216419.89442851717</v>
      </c>
      <c r="P468">
        <f t="shared" si="76"/>
        <v>-1622442.6803010374</v>
      </c>
    </row>
    <row r="469" spans="2:16" ht="15">
      <c r="B469">
        <f t="shared" si="77"/>
        <v>23.000000000000192</v>
      </c>
      <c r="C469">
        <f>IF(Eingabe_Ausgabe!$B$13=1,Berechnung!C468,C468+G468*B469)</f>
        <v>41.00026417135857</v>
      </c>
      <c r="D469">
        <f>IF(Eingabe_Ausgabe!$B$13=1,Berechnung!D468+dt*g,D468+H468*B469)</f>
        <v>-458.15405279454785</v>
      </c>
      <c r="E469">
        <f>0.5*roh_luft*Eingabe_Ausgabe!$B$7*(C469*C469+D469*D469)</f>
        <v>14979101.54499917</v>
      </c>
      <c r="F469">
        <f t="shared" si="70"/>
        <v>-1.4815439522288467</v>
      </c>
      <c r="G469">
        <f>IF(Eingabe_Ausgabe!$B$13=1,0,-COS(F469)*E469/m)</f>
        <v>0</v>
      </c>
      <c r="H469">
        <f>IF(Eingabe_Ausgabe!$B$13=1,g,g-SIN(F469)*E469/m)</f>
        <v>-9.81</v>
      </c>
      <c r="I469" s="4">
        <f t="shared" si="79"/>
        <v>0</v>
      </c>
      <c r="J469" s="4">
        <f t="shared" si="78"/>
        <v>0</v>
      </c>
      <c r="K469">
        <f t="shared" si="71"/>
        <v>0</v>
      </c>
      <c r="L469">
        <f t="shared" si="72"/>
        <v>-84.88621562584457</v>
      </c>
      <c r="M469">
        <f t="shared" si="73"/>
        <v>217362.90050445843</v>
      </c>
      <c r="N469">
        <f t="shared" si="74"/>
        <v>-2029544.6911403092</v>
      </c>
      <c r="O469">
        <f t="shared" si="75"/>
        <v>217362.90050445843</v>
      </c>
      <c r="P469">
        <f t="shared" si="76"/>
        <v>-1630385.478515312</v>
      </c>
    </row>
    <row r="470" spans="2:16" ht="15">
      <c r="B470">
        <f t="shared" si="77"/>
        <v>23.050000000000193</v>
      </c>
      <c r="C470">
        <f>IF(Eingabe_Ausgabe!$B$13=1,Berechnung!C469,C469+G469*B470)</f>
        <v>41.00026417135857</v>
      </c>
      <c r="D470">
        <f>IF(Eingabe_Ausgabe!$B$13=1,Berechnung!D469+dt*g,D469+H469*B470)</f>
        <v>-458.64455279454785</v>
      </c>
      <c r="E470">
        <f>0.5*roh_luft*Eingabe_Ausgabe!$B$7*(C470*C470+D470*D470)</f>
        <v>15010937.029852355</v>
      </c>
      <c r="F470">
        <f t="shared" si="70"/>
        <v>-1.481638898386927</v>
      </c>
      <c r="G470">
        <f>IF(Eingabe_Ausgabe!$B$13=1,0,-COS(F470)*E470/m)</f>
        <v>0</v>
      </c>
      <c r="H470">
        <f>IF(Eingabe_Ausgabe!$B$13=1,g,g-SIN(F470)*E470/m)</f>
        <v>-9.81</v>
      </c>
      <c r="I470" s="4">
        <f t="shared" si="79"/>
        <v>0</v>
      </c>
      <c r="J470" s="4">
        <f t="shared" si="78"/>
        <v>0</v>
      </c>
      <c r="K470">
        <f t="shared" si="71"/>
        <v>0</v>
      </c>
      <c r="L470">
        <f t="shared" si="72"/>
        <v>-84.89165563998355</v>
      </c>
      <c r="M470">
        <f t="shared" si="73"/>
        <v>218307.95659360825</v>
      </c>
      <c r="N470">
        <f t="shared" si="74"/>
        <v>-2040116.4480822235</v>
      </c>
      <c r="O470">
        <f t="shared" si="75"/>
        <v>218307.95659360825</v>
      </c>
      <c r="P470">
        <f t="shared" si="76"/>
        <v>-1638351.1966947266</v>
      </c>
    </row>
    <row r="471" spans="2:16" ht="15">
      <c r="B471">
        <f t="shared" si="77"/>
        <v>23.100000000000193</v>
      </c>
      <c r="C471">
        <f>IF(Eingabe_Ausgabe!$B$13=1,Berechnung!C470,C470+G470*B471)</f>
        <v>41.00026417135857</v>
      </c>
      <c r="D471">
        <f>IF(Eingabe_Ausgabe!$B$13=1,Berechnung!D470+dt*g,D470+H470*B471)</f>
        <v>-459.13505279454785</v>
      </c>
      <c r="E471">
        <f>0.5*roh_luft*Eingabe_Ausgabe!$B$7*(C471*C471+D471*D471)</f>
        <v>15042806.579559531</v>
      </c>
      <c r="F471">
        <f t="shared" si="70"/>
        <v>-1.4817336432871624</v>
      </c>
      <c r="G471">
        <f>IF(Eingabe_Ausgabe!$B$13=1,0,-COS(F471)*E471/m)</f>
        <v>0</v>
      </c>
      <c r="H471">
        <f>IF(Eingabe_Ausgabe!$B$13=1,g,g-SIN(F471)*E471/m)</f>
        <v>-9.81</v>
      </c>
      <c r="I471" s="4">
        <f t="shared" si="79"/>
        <v>0</v>
      </c>
      <c r="J471" s="4">
        <f t="shared" si="78"/>
        <v>0</v>
      </c>
      <c r="K471">
        <f t="shared" si="71"/>
        <v>0</v>
      </c>
      <c r="L471">
        <f t="shared" si="72"/>
        <v>-84.89708412289743</v>
      </c>
      <c r="M471">
        <f t="shared" si="73"/>
        <v>219255.06269596666</v>
      </c>
      <c r="N471">
        <f t="shared" si="74"/>
        <v>-2050722.4678017776</v>
      </c>
      <c r="O471">
        <f t="shared" si="75"/>
        <v>219255.06269596666</v>
      </c>
      <c r="P471">
        <f t="shared" si="76"/>
        <v>-1646339.8593642807</v>
      </c>
    </row>
    <row r="472" spans="2:16" ht="15">
      <c r="B472">
        <f t="shared" si="77"/>
        <v>23.150000000000194</v>
      </c>
      <c r="C472">
        <f>IF(Eingabe_Ausgabe!$B$13=1,Berechnung!C471,C471+G471*B472)</f>
        <v>41.00026417135857</v>
      </c>
      <c r="D472">
        <f>IF(Eingabe_Ausgabe!$B$13=1,Berechnung!D471+dt*g,D471+H471*B472)</f>
        <v>-459.62555279454784</v>
      </c>
      <c r="E472">
        <f>0.5*roh_luft*Eingabe_Ausgabe!$B$7*(C472*C472+D472*D472)</f>
        <v>15074710.194120701</v>
      </c>
      <c r="F472">
        <f t="shared" si="70"/>
        <v>-1.4818281875670904</v>
      </c>
      <c r="G472">
        <f>IF(Eingabe_Ausgabe!$B$13=1,0,-COS(F472)*E472/m)</f>
        <v>0</v>
      </c>
      <c r="H472">
        <f>IF(Eingabe_Ausgabe!$B$13=1,g,g-SIN(F472)*E472/m)</f>
        <v>-9.81</v>
      </c>
      <c r="I472" s="4">
        <f t="shared" si="79"/>
        <v>0</v>
      </c>
      <c r="J472" s="4">
        <f t="shared" si="78"/>
        <v>0</v>
      </c>
      <c r="K472">
        <f t="shared" si="71"/>
        <v>0</v>
      </c>
      <c r="L472">
        <f t="shared" si="72"/>
        <v>-84.9025011111144</v>
      </c>
      <c r="M472">
        <f t="shared" si="73"/>
        <v>220204.21881153362</v>
      </c>
      <c r="N472">
        <f t="shared" si="74"/>
        <v>-2061362.7993489716</v>
      </c>
      <c r="O472">
        <f t="shared" si="75"/>
        <v>220204.21881153362</v>
      </c>
      <c r="P472">
        <f t="shared" si="76"/>
        <v>-1654351.4910489745</v>
      </c>
    </row>
    <row r="473" spans="2:16" ht="15">
      <c r="B473">
        <f t="shared" si="77"/>
        <v>23.200000000000195</v>
      </c>
      <c r="C473">
        <f>IF(Eingabe_Ausgabe!$B$13=1,Berechnung!C472,C472+G472*B473)</f>
        <v>41.00026417135857</v>
      </c>
      <c r="D473">
        <f>IF(Eingabe_Ausgabe!$B$13=1,Berechnung!D472+dt*g,D472+H472*B473)</f>
        <v>-460.11605279454784</v>
      </c>
      <c r="E473">
        <f>0.5*roh_luft*Eingabe_Ausgabe!$B$7*(C473*C473+D473*D473)</f>
        <v>15106647.873535864</v>
      </c>
      <c r="F473">
        <f t="shared" si="70"/>
        <v>-1.4819225318615665</v>
      </c>
      <c r="G473">
        <f>IF(Eingabe_Ausgabe!$B$13=1,0,-COS(F473)*E473/m)</f>
        <v>0</v>
      </c>
      <c r="H473">
        <f>IF(Eingabe_Ausgabe!$B$13=1,g,g-SIN(F473)*E473/m)</f>
        <v>-9.81</v>
      </c>
      <c r="I473" s="4">
        <f t="shared" si="79"/>
        <v>0</v>
      </c>
      <c r="J473" s="4">
        <f t="shared" si="78"/>
        <v>0</v>
      </c>
      <c r="K473">
        <f t="shared" si="71"/>
        <v>0</v>
      </c>
      <c r="L473">
        <f t="shared" si="72"/>
        <v>-84.90790664100903</v>
      </c>
      <c r="M473">
        <f t="shared" si="73"/>
        <v>221155.42494030914</v>
      </c>
      <c r="N473">
        <f t="shared" si="74"/>
        <v>-2072037.491773805</v>
      </c>
      <c r="O473">
        <f t="shared" si="75"/>
        <v>221155.42494030914</v>
      </c>
      <c r="P473">
        <f t="shared" si="76"/>
        <v>-1662386.116273808</v>
      </c>
    </row>
    <row r="474" spans="2:16" ht="15">
      <c r="B474">
        <f t="shared" si="77"/>
        <v>23.250000000000195</v>
      </c>
      <c r="C474">
        <f>IF(Eingabe_Ausgabe!$B$13=1,Berechnung!C473,C473+G473*B474)</f>
        <v>41.00026417135857</v>
      </c>
      <c r="D474">
        <f>IF(Eingabe_Ausgabe!$B$13=1,Berechnung!D473+dt*g,D473+H473*B474)</f>
        <v>-460.60655279454784</v>
      </c>
      <c r="E474">
        <f>0.5*roh_luft*Eingabe_Ausgabe!$B$7*(C474*C474+D474*D474)</f>
        <v>15138619.61780502</v>
      </c>
      <c r="F474">
        <f t="shared" si="70"/>
        <v>-1.482016676802777</v>
      </c>
      <c r="G474">
        <f>IF(Eingabe_Ausgabe!$B$13=1,0,-COS(F474)*E474/m)</f>
        <v>0</v>
      </c>
      <c r="H474">
        <f>IF(Eingabe_Ausgabe!$B$13=1,g,g-SIN(F474)*E474/m)</f>
        <v>-9.81</v>
      </c>
      <c r="I474" s="4">
        <f t="shared" si="79"/>
        <v>0</v>
      </c>
      <c r="J474" s="4">
        <f t="shared" si="78"/>
        <v>0</v>
      </c>
      <c r="K474">
        <f t="shared" si="71"/>
        <v>0</v>
      </c>
      <c r="L474">
        <f t="shared" si="72"/>
        <v>-84.9133007488029</v>
      </c>
      <c r="M474">
        <f t="shared" si="73"/>
        <v>222108.68108229325</v>
      </c>
      <c r="N474">
        <f t="shared" si="74"/>
        <v>-2082746.5941262785</v>
      </c>
      <c r="O474">
        <f t="shared" si="75"/>
        <v>222108.68108229325</v>
      </c>
      <c r="P474">
        <f t="shared" si="76"/>
        <v>-1670443.7595637816</v>
      </c>
    </row>
    <row r="475" spans="2:16" ht="15">
      <c r="B475">
        <f t="shared" si="77"/>
        <v>23.300000000000196</v>
      </c>
      <c r="C475">
        <f>IF(Eingabe_Ausgabe!$B$13=1,Berechnung!C474,C474+G474*B475)</f>
        <v>41.00026417135857</v>
      </c>
      <c r="D475">
        <f>IF(Eingabe_Ausgabe!$B$13=1,Berechnung!D474+dt*g,D474+H474*B475)</f>
        <v>-461.09705279454784</v>
      </c>
      <c r="E475">
        <f>0.5*roh_luft*Eingabe_Ausgabe!$B$7*(C475*C475+D475*D475)</f>
        <v>15170625.426928174</v>
      </c>
      <c r="F475">
        <f t="shared" si="70"/>
        <v>-1.482110623020253</v>
      </c>
      <c r="G475">
        <f>IF(Eingabe_Ausgabe!$B$13=1,0,-COS(F475)*E475/m)</f>
        <v>0</v>
      </c>
      <c r="H475">
        <f>IF(Eingabe_Ausgabe!$B$13=1,g,g-SIN(F475)*E475/m)</f>
        <v>-9.81</v>
      </c>
      <c r="I475" s="4">
        <f t="shared" si="79"/>
        <v>0</v>
      </c>
      <c r="J475" s="4">
        <f t="shared" si="78"/>
        <v>0</v>
      </c>
      <c r="K475">
        <f t="shared" si="71"/>
        <v>0</v>
      </c>
      <c r="L475">
        <f t="shared" si="72"/>
        <v>-84.91868347056548</v>
      </c>
      <c r="M475">
        <f t="shared" si="73"/>
        <v>223063.9872374859</v>
      </c>
      <c r="N475">
        <f t="shared" si="74"/>
        <v>-2093490.1554563916</v>
      </c>
      <c r="O475">
        <f t="shared" si="75"/>
        <v>223063.9872374859</v>
      </c>
      <c r="P475">
        <f t="shared" si="76"/>
        <v>-1678524.4454438945</v>
      </c>
    </row>
    <row r="476" spans="2:16" ht="15">
      <c r="B476">
        <f t="shared" si="77"/>
        <v>23.350000000000197</v>
      </c>
      <c r="C476">
        <f>IF(Eingabe_Ausgabe!$B$13=1,Berechnung!C475,C475+G475*B476)</f>
        <v>41.00026417135857</v>
      </c>
      <c r="D476">
        <f>IF(Eingabe_Ausgabe!$B$13=1,Berechnung!D475+dt*g,D475+H475*B476)</f>
        <v>-461.58755279454783</v>
      </c>
      <c r="E476">
        <f>0.5*roh_luft*Eingabe_Ausgabe!$B$7*(C476*C476+D476*D476)</f>
        <v>15202665.300905319</v>
      </c>
      <c r="F476">
        <f t="shared" si="70"/>
        <v>-1.482204371140886</v>
      </c>
      <c r="G476">
        <f>IF(Eingabe_Ausgabe!$B$13=1,0,-COS(F476)*E476/m)</f>
        <v>0</v>
      </c>
      <c r="H476">
        <f>IF(Eingabe_Ausgabe!$B$13=1,g,g-SIN(F476)*E476/m)</f>
        <v>-9.81</v>
      </c>
      <c r="I476" s="4">
        <f t="shared" si="79"/>
        <v>0</v>
      </c>
      <c r="J476" s="4">
        <f t="shared" si="78"/>
        <v>0</v>
      </c>
      <c r="K476">
        <f t="shared" si="71"/>
        <v>0</v>
      </c>
      <c r="L476">
        <f t="shared" si="72"/>
        <v>-84.92405484221504</v>
      </c>
      <c r="M476">
        <f t="shared" si="73"/>
        <v>224021.34340588714</v>
      </c>
      <c r="N476">
        <f t="shared" si="74"/>
        <v>-2104268.2248141444</v>
      </c>
      <c r="O476">
        <f t="shared" si="75"/>
        <v>224021.34340588714</v>
      </c>
      <c r="P476">
        <f t="shared" si="76"/>
        <v>-1686628.198439147</v>
      </c>
    </row>
    <row r="477" spans="2:16" ht="15">
      <c r="B477">
        <f t="shared" si="77"/>
        <v>23.400000000000198</v>
      </c>
      <c r="C477">
        <f>IF(Eingabe_Ausgabe!$B$13=1,Berechnung!C476,C476+G476*B477)</f>
        <v>41.00026417135857</v>
      </c>
      <c r="D477">
        <f>IF(Eingabe_Ausgabe!$B$13=1,Berechnung!D476+dt*g,D476+H476*B477)</f>
        <v>-462.07805279454783</v>
      </c>
      <c r="E477">
        <f>0.5*roh_luft*Eingabe_Ausgabe!$B$7*(C477*C477+D477*D477)</f>
        <v>15234739.239736456</v>
      </c>
      <c r="F477">
        <f t="shared" si="70"/>
        <v>-1.4822979217889396</v>
      </c>
      <c r="G477">
        <f>IF(Eingabe_Ausgabe!$B$13=1,0,-COS(F477)*E477/m)</f>
        <v>0</v>
      </c>
      <c r="H477">
        <f>IF(Eingabe_Ausgabe!$B$13=1,g,g-SIN(F477)*E477/m)</f>
        <v>-9.81</v>
      </c>
      <c r="I477" s="4">
        <f t="shared" si="79"/>
        <v>0</v>
      </c>
      <c r="J477" s="4">
        <f t="shared" si="78"/>
        <v>0</v>
      </c>
      <c r="K477">
        <f t="shared" si="71"/>
        <v>0</v>
      </c>
      <c r="L477">
        <f t="shared" si="72"/>
        <v>-84.92941489951923</v>
      </c>
      <c r="M477">
        <f t="shared" si="73"/>
        <v>224980.74958749695</v>
      </c>
      <c r="N477">
        <f t="shared" si="74"/>
        <v>-2115080.851249537</v>
      </c>
      <c r="O477">
        <f t="shared" si="75"/>
        <v>224980.74958749695</v>
      </c>
      <c r="P477">
        <f t="shared" si="76"/>
        <v>-1694755.0430745396</v>
      </c>
    </row>
    <row r="478" spans="2:16" ht="15">
      <c r="B478">
        <f t="shared" si="77"/>
        <v>23.4500000000002</v>
      </c>
      <c r="C478">
        <f>IF(Eingabe_Ausgabe!$B$13=1,Berechnung!C477,C477+G477*B478)</f>
        <v>41.00026417135857</v>
      </c>
      <c r="D478">
        <f>IF(Eingabe_Ausgabe!$B$13=1,Berechnung!D477+dt*g,D477+H477*B478)</f>
        <v>-462.5685527945478</v>
      </c>
      <c r="E478">
        <f>0.5*roh_luft*Eingabe_Ausgabe!$B$7*(C478*C478+D478*D478)</f>
        <v>15266847.243421588</v>
      </c>
      <c r="F478">
        <f t="shared" si="70"/>
        <v>-1.4823912755860642</v>
      </c>
      <c r="G478">
        <f>IF(Eingabe_Ausgabe!$B$13=1,0,-COS(F478)*E478/m)</f>
        <v>0</v>
      </c>
      <c r="H478">
        <f>IF(Eingabe_Ausgabe!$B$13=1,g,g-SIN(F478)*E478/m)</f>
        <v>-9.81</v>
      </c>
      <c r="I478" s="4">
        <f t="shared" si="79"/>
        <v>0</v>
      </c>
      <c r="J478" s="4">
        <f t="shared" si="78"/>
        <v>0</v>
      </c>
      <c r="K478">
        <f t="shared" si="71"/>
        <v>0</v>
      </c>
      <c r="L478">
        <f t="shared" si="72"/>
        <v>-84.93476367809599</v>
      </c>
      <c r="M478">
        <f t="shared" si="73"/>
        <v>225942.20578231532</v>
      </c>
      <c r="N478">
        <f t="shared" si="74"/>
        <v>-2125928.0838125693</v>
      </c>
      <c r="O478">
        <f t="shared" si="75"/>
        <v>225942.20578231532</v>
      </c>
      <c r="P478">
        <f t="shared" si="76"/>
        <v>-1702905.0038750719</v>
      </c>
    </row>
    <row r="479" spans="2:16" ht="15">
      <c r="B479">
        <f t="shared" si="77"/>
        <v>23.5000000000002</v>
      </c>
      <c r="C479">
        <f>IF(Eingabe_Ausgabe!$B$13=1,Berechnung!C478,C478+G478*B479)</f>
        <v>41.00026417135857</v>
      </c>
      <c r="D479">
        <f>IF(Eingabe_Ausgabe!$B$13=1,Berechnung!D478+dt*g,D478+H478*B479)</f>
        <v>-463.0590527945478</v>
      </c>
      <c r="E479">
        <f>0.5*roh_luft*Eingabe_Ausgabe!$B$7*(C479*C479+D479*D479)</f>
        <v>15298989.311960716</v>
      </c>
      <c r="F479">
        <f t="shared" si="70"/>
        <v>-1.4824844331513105</v>
      </c>
      <c r="G479">
        <f>IF(Eingabe_Ausgabe!$B$13=1,0,-COS(F479)*E479/m)</f>
        <v>0</v>
      </c>
      <c r="H479">
        <f>IF(Eingabe_Ausgabe!$B$13=1,g,g-SIN(F479)*E479/m)</f>
        <v>-9.81</v>
      </c>
      <c r="I479" s="4">
        <f t="shared" si="79"/>
        <v>0</v>
      </c>
      <c r="J479" s="4">
        <f t="shared" si="78"/>
        <v>0</v>
      </c>
      <c r="K479">
        <f t="shared" si="71"/>
        <v>0</v>
      </c>
      <c r="L479">
        <f t="shared" si="72"/>
        <v>-84.94010121341432</v>
      </c>
      <c r="M479">
        <f t="shared" si="73"/>
        <v>226905.71199034224</v>
      </c>
      <c r="N479">
        <f t="shared" si="74"/>
        <v>-2136809.9715532414</v>
      </c>
      <c r="O479">
        <f t="shared" si="75"/>
        <v>226905.71199034224</v>
      </c>
      <c r="P479">
        <f t="shared" si="76"/>
        <v>-1711078.1053657439</v>
      </c>
    </row>
    <row r="480" spans="2:16" ht="15">
      <c r="B480">
        <f t="shared" si="77"/>
        <v>23.5500000000002</v>
      </c>
      <c r="C480">
        <f>IF(Eingabe_Ausgabe!$B$13=1,Berechnung!C479,C479+G479*B480)</f>
        <v>41.00026417135857</v>
      </c>
      <c r="D480">
        <f>IF(Eingabe_Ausgabe!$B$13=1,Berechnung!D479+dt*g,D479+H479*B480)</f>
        <v>-463.5495527945478</v>
      </c>
      <c r="E480">
        <f>0.5*roh_luft*Eingabe_Ausgabe!$B$7*(C480*C480+D480*D480)</f>
        <v>15331165.445353834</v>
      </c>
      <c r="F480">
        <f t="shared" si="70"/>
        <v>-1.4825773951011434</v>
      </c>
      <c r="G480">
        <f>IF(Eingabe_Ausgabe!$B$13=1,0,-COS(F480)*E480/m)</f>
        <v>0</v>
      </c>
      <c r="H480">
        <f>IF(Eingabe_Ausgabe!$B$13=1,g,g-SIN(F480)*E480/m)</f>
        <v>-9.81</v>
      </c>
      <c r="I480" s="4">
        <f t="shared" si="79"/>
        <v>0</v>
      </c>
      <c r="J480" s="4">
        <f t="shared" si="78"/>
        <v>0</v>
      </c>
      <c r="K480">
        <f t="shared" si="71"/>
        <v>0</v>
      </c>
      <c r="L480">
        <f t="shared" si="72"/>
        <v>-84.94542754079505</v>
      </c>
      <c r="M480">
        <f t="shared" si="73"/>
        <v>227871.26821157776</v>
      </c>
      <c r="N480">
        <f t="shared" si="74"/>
        <v>-2147726.563521553</v>
      </c>
      <c r="O480">
        <f t="shared" si="75"/>
        <v>227871.26821157776</v>
      </c>
      <c r="P480">
        <f t="shared" si="76"/>
        <v>-1719274.3720715556</v>
      </c>
    </row>
    <row r="481" spans="2:16" ht="15">
      <c r="B481">
        <f t="shared" si="77"/>
        <v>23.6000000000002</v>
      </c>
      <c r="C481">
        <f>IF(Eingabe_Ausgabe!$B$13=1,Berechnung!C480,C480+G480*B481)</f>
        <v>41.00026417135857</v>
      </c>
      <c r="D481">
        <f>IF(Eingabe_Ausgabe!$B$13=1,Berechnung!D480+dt*g,D480+H480*B481)</f>
        <v>-464.0400527945478</v>
      </c>
      <c r="E481">
        <f>0.5*roh_luft*Eingabe_Ausgabe!$B$7*(C481*C481+D481*D481)</f>
        <v>15363375.643600946</v>
      </c>
      <c r="F481">
        <f t="shared" si="70"/>
        <v>-1.4826701620494547</v>
      </c>
      <c r="G481">
        <f>IF(Eingabe_Ausgabe!$B$13=1,0,-COS(F481)*E481/m)</f>
        <v>0</v>
      </c>
      <c r="H481">
        <f>IF(Eingabe_Ausgabe!$B$13=1,g,g-SIN(F481)*E481/m)</f>
        <v>-9.81</v>
      </c>
      <c r="I481" s="4">
        <f t="shared" si="79"/>
        <v>0</v>
      </c>
      <c r="J481" s="4">
        <f t="shared" si="78"/>
        <v>0</v>
      </c>
      <c r="K481">
        <f t="shared" si="71"/>
        <v>0</v>
      </c>
      <c r="L481">
        <f t="shared" si="72"/>
        <v>-84.95074269541159</v>
      </c>
      <c r="M481">
        <f t="shared" si="73"/>
        <v>228838.87444602183</v>
      </c>
      <c r="N481">
        <f t="shared" si="74"/>
        <v>-2158677.908767504</v>
      </c>
      <c r="O481">
        <f t="shared" si="75"/>
        <v>228838.87444602183</v>
      </c>
      <c r="P481">
        <f t="shared" si="76"/>
        <v>-1727493.828517507</v>
      </c>
    </row>
    <row r="482" spans="2:16" ht="15">
      <c r="B482">
        <f t="shared" si="77"/>
        <v>23.6500000000002</v>
      </c>
      <c r="C482">
        <f>IF(Eingabe_Ausgabe!$B$13=1,Berechnung!C481,C481+G481*B482)</f>
        <v>41.00026417135857</v>
      </c>
      <c r="D482">
        <f>IF(Eingabe_Ausgabe!$B$13=1,Berechnung!D481+dt*g,D481+H481*B482)</f>
        <v>-464.5305527945478</v>
      </c>
      <c r="E482">
        <f>0.5*roh_luft*Eingabe_Ausgabe!$B$7*(C482*C482+D482*D482)</f>
        <v>15395619.906702055</v>
      </c>
      <c r="F482">
        <f t="shared" si="70"/>
        <v>-1.4827627346075767</v>
      </c>
      <c r="G482">
        <f>IF(Eingabe_Ausgabe!$B$13=1,0,-COS(F482)*E482/m)</f>
        <v>0</v>
      </c>
      <c r="H482">
        <f>IF(Eingabe_Ausgabe!$B$13=1,g,g-SIN(F482)*E482/m)</f>
        <v>-9.81</v>
      </c>
      <c r="I482" s="4">
        <f t="shared" si="79"/>
        <v>0</v>
      </c>
      <c r="J482" s="4">
        <f t="shared" si="78"/>
        <v>0</v>
      </c>
      <c r="K482">
        <f t="shared" si="71"/>
        <v>0</v>
      </c>
      <c r="L482">
        <f t="shared" si="72"/>
        <v>-84.95604671229071</v>
      </c>
      <c r="M482">
        <f t="shared" si="73"/>
        <v>229808.53069367446</v>
      </c>
      <c r="N482">
        <f t="shared" si="74"/>
        <v>-2169664.0563410954</v>
      </c>
      <c r="O482">
        <f t="shared" si="75"/>
        <v>229808.53069367446</v>
      </c>
      <c r="P482">
        <f t="shared" si="76"/>
        <v>-1735736.499228598</v>
      </c>
    </row>
    <row r="483" spans="2:16" ht="15">
      <c r="B483">
        <f t="shared" si="77"/>
        <v>23.700000000000202</v>
      </c>
      <c r="C483">
        <f>IF(Eingabe_Ausgabe!$B$13=1,Berechnung!C482,C482+G482*B483)</f>
        <v>41.00026417135857</v>
      </c>
      <c r="D483">
        <f>IF(Eingabe_Ausgabe!$B$13=1,Berechnung!D482+dt*g,D482+H482*B483)</f>
        <v>-465.0210527945478</v>
      </c>
      <c r="E483">
        <f>0.5*roh_luft*Eingabe_Ausgabe!$B$7*(C483*C483+D483*D483)</f>
        <v>15427898.234657153</v>
      </c>
      <c r="F483">
        <f t="shared" si="70"/>
        <v>-1.4828551133842962</v>
      </c>
      <c r="G483">
        <f>IF(Eingabe_Ausgabe!$B$13=1,0,-COS(F483)*E483/m)</f>
        <v>0</v>
      </c>
      <c r="H483">
        <f>IF(Eingabe_Ausgabe!$B$13=1,g,g-SIN(F483)*E483/m)</f>
        <v>-9.81</v>
      </c>
      <c r="I483" s="4">
        <f t="shared" si="79"/>
        <v>0</v>
      </c>
      <c r="J483" s="4">
        <f t="shared" si="78"/>
        <v>0</v>
      </c>
      <c r="K483">
        <f t="shared" si="71"/>
        <v>0</v>
      </c>
      <c r="L483">
        <f t="shared" si="72"/>
        <v>-84.96133962631332</v>
      </c>
      <c r="M483">
        <f t="shared" si="73"/>
        <v>230780.23695453568</v>
      </c>
      <c r="N483">
        <f t="shared" si="74"/>
        <v>-2180685.055292326</v>
      </c>
      <c r="O483">
        <f t="shared" si="75"/>
        <v>230780.23695453568</v>
      </c>
      <c r="P483">
        <f t="shared" si="76"/>
        <v>-1744002.4087298291</v>
      </c>
    </row>
    <row r="484" spans="2:16" ht="15">
      <c r="B484">
        <f t="shared" si="77"/>
        <v>23.750000000000203</v>
      </c>
      <c r="C484">
        <f>IF(Eingabe_Ausgabe!$B$13=1,Berechnung!C483,C483+G483*B484)</f>
        <v>41.00026417135857</v>
      </c>
      <c r="D484">
        <f>IF(Eingabe_Ausgabe!$B$13=1,Berechnung!D483+dt*g,D483+H483*B484)</f>
        <v>-465.5115527945478</v>
      </c>
      <c r="E484">
        <f>0.5*roh_luft*Eingabe_Ausgabe!$B$7*(C484*C484+D484*D484)</f>
        <v>15460210.627466248</v>
      </c>
      <c r="F484">
        <f t="shared" si="70"/>
        <v>-1.482947298985867</v>
      </c>
      <c r="G484">
        <f>IF(Eingabe_Ausgabe!$B$13=1,0,-COS(F484)*E484/m)</f>
        <v>0</v>
      </c>
      <c r="H484">
        <f>IF(Eingabe_Ausgabe!$B$13=1,g,g-SIN(F484)*E484/m)</f>
        <v>-9.81</v>
      </c>
      <c r="I484" s="4">
        <f t="shared" si="79"/>
        <v>0</v>
      </c>
      <c r="J484" s="4">
        <f t="shared" si="78"/>
        <v>0</v>
      </c>
      <c r="K484">
        <f t="shared" si="71"/>
        <v>0</v>
      </c>
      <c r="L484">
        <f t="shared" si="72"/>
        <v>-84.96662147221521</v>
      </c>
      <c r="M484">
        <f t="shared" si="73"/>
        <v>231753.99322860545</v>
      </c>
      <c r="N484">
        <f t="shared" si="74"/>
        <v>-2191740.9546711966</v>
      </c>
      <c r="O484">
        <f t="shared" si="75"/>
        <v>231753.99322860545</v>
      </c>
      <c r="P484">
        <f t="shared" si="76"/>
        <v>-1752291.5815461997</v>
      </c>
    </row>
    <row r="485" spans="2:16" ht="15">
      <c r="B485">
        <f t="shared" si="77"/>
        <v>23.800000000000203</v>
      </c>
      <c r="C485">
        <f>IF(Eingabe_Ausgabe!$B$13=1,Berechnung!C484,C484+G484*B485)</f>
        <v>41.00026417135857</v>
      </c>
      <c r="D485">
        <f>IF(Eingabe_Ausgabe!$B$13=1,Berechnung!D484+dt*g,D484+H484*B485)</f>
        <v>-466.0020527945478</v>
      </c>
      <c r="E485">
        <f>0.5*roh_luft*Eingabe_Ausgabe!$B$7*(C485*C485+D485*D485)</f>
        <v>15492557.085129336</v>
      </c>
      <c r="F485">
        <f t="shared" si="70"/>
        <v>-1.4830392920160227</v>
      </c>
      <c r="G485">
        <f>IF(Eingabe_Ausgabe!$B$13=1,0,-COS(F485)*E485/m)</f>
        <v>0</v>
      </c>
      <c r="H485">
        <f>IF(Eingabe_Ausgabe!$B$13=1,g,g-SIN(F485)*E485/m)</f>
        <v>-9.81</v>
      </c>
      <c r="I485" s="4">
        <f t="shared" si="79"/>
        <v>0</v>
      </c>
      <c r="J485" s="4">
        <f t="shared" si="78"/>
        <v>0</v>
      </c>
      <c r="K485">
        <f t="shared" si="71"/>
        <v>0</v>
      </c>
      <c r="L485">
        <f t="shared" si="72"/>
        <v>-84.97189228458774</v>
      </c>
      <c r="M485">
        <f t="shared" si="73"/>
        <v>232729.7995158838</v>
      </c>
      <c r="N485">
        <f t="shared" si="74"/>
        <v>-2202831.803527707</v>
      </c>
      <c r="O485">
        <f t="shared" si="75"/>
        <v>232729.7995158838</v>
      </c>
      <c r="P485">
        <f t="shared" si="76"/>
        <v>-1760604.0422027102</v>
      </c>
    </row>
    <row r="486" spans="2:16" ht="15">
      <c r="B486">
        <f t="shared" si="77"/>
        <v>23.850000000000204</v>
      </c>
      <c r="C486">
        <f>IF(Eingabe_Ausgabe!$B$13=1,Berechnung!C485,C485+G485*B486)</f>
        <v>41.00026417135857</v>
      </c>
      <c r="D486">
        <f>IF(Eingabe_Ausgabe!$B$13=1,Berechnung!D485+dt*g,D485+H485*B486)</f>
        <v>-466.4925527945478</v>
      </c>
      <c r="E486">
        <f>0.5*roh_luft*Eingabe_Ausgabe!$B$7*(C486*C486+D486*D486)</f>
        <v>15524937.607646417</v>
      </c>
      <c r="F486">
        <f t="shared" si="70"/>
        <v>-1.483131093075991</v>
      </c>
      <c r="G486">
        <f>IF(Eingabe_Ausgabe!$B$13=1,0,-COS(F486)*E486/m)</f>
        <v>0</v>
      </c>
      <c r="H486">
        <f>IF(Eingabe_Ausgabe!$B$13=1,g,g-SIN(F486)*E486/m)</f>
        <v>-9.81</v>
      </c>
      <c r="I486" s="4">
        <f t="shared" si="79"/>
        <v>0</v>
      </c>
      <c r="J486" s="4">
        <f t="shared" si="78"/>
        <v>0</v>
      </c>
      <c r="K486">
        <f t="shared" si="71"/>
        <v>0</v>
      </c>
      <c r="L486">
        <f t="shared" si="72"/>
        <v>-84.97715209787876</v>
      </c>
      <c r="M486">
        <f t="shared" si="73"/>
        <v>233707.6558163707</v>
      </c>
      <c r="N486">
        <f t="shared" si="74"/>
        <v>-2213957.650911857</v>
      </c>
      <c r="O486">
        <f t="shared" si="75"/>
        <v>233707.6558163707</v>
      </c>
      <c r="P486">
        <f t="shared" si="76"/>
        <v>-1768939.8152243602</v>
      </c>
    </row>
    <row r="487" spans="2:16" ht="15">
      <c r="B487">
        <f t="shared" si="77"/>
        <v>23.900000000000205</v>
      </c>
      <c r="C487">
        <f>IF(Eingabe_Ausgabe!$B$13=1,Berechnung!C486,C486+G486*B487)</f>
        <v>41.00026417135857</v>
      </c>
      <c r="D487">
        <f>IF(Eingabe_Ausgabe!$B$13=1,Berechnung!D486+dt*g,D486+H486*B487)</f>
        <v>-466.9830527945478</v>
      </c>
      <c r="E487">
        <f>0.5*roh_luft*Eingabe_Ausgabe!$B$7*(C487*C487+D487*D487)</f>
        <v>15557352.19501749</v>
      </c>
      <c r="F487">
        <f t="shared" si="70"/>
        <v>-1.483222702764505</v>
      </c>
      <c r="G487">
        <f>IF(Eingabe_Ausgabe!$B$13=1,0,-COS(F487)*E487/m)</f>
        <v>0</v>
      </c>
      <c r="H487">
        <f>IF(Eingabe_Ausgabe!$B$13=1,g,g-SIN(F487)*E487/m)</f>
        <v>-9.81</v>
      </c>
      <c r="I487" s="4">
        <f t="shared" si="79"/>
        <v>0</v>
      </c>
      <c r="J487" s="4">
        <f t="shared" si="78"/>
        <v>0</v>
      </c>
      <c r="K487">
        <f t="shared" si="71"/>
        <v>0</v>
      </c>
      <c r="L487">
        <f t="shared" si="72"/>
        <v>-84.98240094639313</v>
      </c>
      <c r="M487">
        <f t="shared" si="73"/>
        <v>234687.5621300662</v>
      </c>
      <c r="N487">
        <f t="shared" si="74"/>
        <v>-2225118.5458736466</v>
      </c>
      <c r="O487">
        <f t="shared" si="75"/>
        <v>234687.5621300662</v>
      </c>
      <c r="P487">
        <f t="shared" si="76"/>
        <v>-1777298.92513615</v>
      </c>
    </row>
    <row r="488" spans="2:16" ht="15">
      <c r="B488">
        <f t="shared" si="77"/>
        <v>23.950000000000205</v>
      </c>
      <c r="C488">
        <f>IF(Eingabe_Ausgabe!$B$13=1,Berechnung!C487,C487+G487*B488)</f>
        <v>41.00026417135857</v>
      </c>
      <c r="D488">
        <f>IF(Eingabe_Ausgabe!$B$13=1,Berechnung!D487+dt*g,D487+H487*B488)</f>
        <v>-467.4735527945478</v>
      </c>
      <c r="E488">
        <f>0.5*roh_luft*Eingabe_Ausgabe!$B$7*(C488*C488+D488*D488)</f>
        <v>15589800.84724256</v>
      </c>
      <c r="F488">
        <f t="shared" si="70"/>
        <v>-1.4833141216778178</v>
      </c>
      <c r="G488">
        <f>IF(Eingabe_Ausgabe!$B$13=1,0,-COS(F488)*E488/m)</f>
        <v>0</v>
      </c>
      <c r="H488">
        <f>IF(Eingabe_Ausgabe!$B$13=1,g,g-SIN(F488)*E488/m)</f>
        <v>-9.81</v>
      </c>
      <c r="I488" s="4">
        <f t="shared" si="79"/>
        <v>0</v>
      </c>
      <c r="J488" s="4">
        <f t="shared" si="78"/>
        <v>0</v>
      </c>
      <c r="K488">
        <f t="shared" si="71"/>
        <v>0</v>
      </c>
      <c r="L488">
        <f t="shared" si="72"/>
        <v>-84.98763886429361</v>
      </c>
      <c r="M488">
        <f t="shared" si="73"/>
        <v>235669.51845697023</v>
      </c>
      <c r="N488">
        <f t="shared" si="74"/>
        <v>-2236314.537463076</v>
      </c>
      <c r="O488">
        <f t="shared" si="75"/>
        <v>235669.51845697023</v>
      </c>
      <c r="P488">
        <f t="shared" si="76"/>
        <v>-1785681.3964630796</v>
      </c>
    </row>
    <row r="489" spans="2:16" ht="15">
      <c r="B489">
        <f t="shared" si="77"/>
        <v>24.000000000000206</v>
      </c>
      <c r="C489">
        <f>IF(Eingabe_Ausgabe!$B$13=1,Berechnung!C488,C488+G488*B489)</f>
        <v>41.00026417135857</v>
      </c>
      <c r="D489">
        <f>IF(Eingabe_Ausgabe!$B$13=1,Berechnung!D488+dt*g,D488+H488*B489)</f>
        <v>-467.9640527945478</v>
      </c>
      <c r="E489">
        <f>0.5*roh_luft*Eingabe_Ausgabe!$B$7*(C489*C489+D489*D489)</f>
        <v>15622283.564321622</v>
      </c>
      <c r="F489">
        <f t="shared" si="70"/>
        <v>-1.483405350409714</v>
      </c>
      <c r="G489">
        <f>IF(Eingabe_Ausgabe!$B$13=1,0,-COS(F489)*E489/m)</f>
        <v>0</v>
      </c>
      <c r="H489">
        <f>IF(Eingabe_Ausgabe!$B$13=1,g,g-SIN(F489)*E489/m)</f>
        <v>-9.81</v>
      </c>
      <c r="I489" s="4">
        <f t="shared" si="79"/>
        <v>0</v>
      </c>
      <c r="J489" s="4">
        <f t="shared" si="78"/>
        <v>0</v>
      </c>
      <c r="K489">
        <f t="shared" si="71"/>
        <v>0</v>
      </c>
      <c r="L489">
        <f t="shared" si="72"/>
        <v>-84.99286588560159</v>
      </c>
      <c r="M489">
        <f t="shared" si="73"/>
        <v>236653.52479708285</v>
      </c>
      <c r="N489">
        <f t="shared" si="74"/>
        <v>-2247545.6747301454</v>
      </c>
      <c r="O489">
        <f t="shared" si="75"/>
        <v>236653.52479708285</v>
      </c>
      <c r="P489">
        <f t="shared" si="76"/>
        <v>-1794087.2537301488</v>
      </c>
    </row>
    <row r="490" spans="2:16" ht="15">
      <c r="B490">
        <f t="shared" si="77"/>
        <v>24.050000000000207</v>
      </c>
      <c r="C490">
        <f>IF(Eingabe_Ausgabe!$B$13=1,Berechnung!C489,C489+G489*B490)</f>
        <v>41.00026417135857</v>
      </c>
      <c r="D490">
        <f>IF(Eingabe_Ausgabe!$B$13=1,Berechnung!D489+dt*g,D489+H489*B490)</f>
        <v>-468.4545527945478</v>
      </c>
      <c r="E490">
        <f>0.5*roh_luft*Eingabe_Ausgabe!$B$7*(C490*C490+D490*D490)</f>
        <v>15654800.346254678</v>
      </c>
      <c r="F490">
        <f t="shared" si="70"/>
        <v>-1.483496389551523</v>
      </c>
      <c r="G490">
        <f>IF(Eingabe_Ausgabe!$B$13=1,0,-COS(F490)*E490/m)</f>
        <v>0</v>
      </c>
      <c r="H490">
        <f>IF(Eingabe_Ausgabe!$B$13=1,g,g-SIN(F490)*E490/m)</f>
        <v>-9.81</v>
      </c>
      <c r="I490" s="4">
        <f t="shared" si="79"/>
        <v>0</v>
      </c>
      <c r="J490" s="4">
        <f t="shared" si="78"/>
        <v>0</v>
      </c>
      <c r="K490">
        <f t="shared" si="71"/>
        <v>0</v>
      </c>
      <c r="L490">
        <f t="shared" si="72"/>
        <v>-84.99808204419774</v>
      </c>
      <c r="M490">
        <f t="shared" si="73"/>
        <v>237639.58115040403</v>
      </c>
      <c r="N490">
        <f t="shared" si="74"/>
        <v>-2258812.0067248545</v>
      </c>
      <c r="O490">
        <f t="shared" si="75"/>
        <v>237639.58115040403</v>
      </c>
      <c r="P490">
        <f t="shared" si="76"/>
        <v>-1802516.5214623578</v>
      </c>
    </row>
    <row r="491" spans="2:16" ht="15">
      <c r="B491">
        <f t="shared" si="77"/>
        <v>24.100000000000207</v>
      </c>
      <c r="C491">
        <f>IF(Eingabe_Ausgabe!$B$13=1,Berechnung!C490,C490+G490*B491)</f>
        <v>41.00026417135857</v>
      </c>
      <c r="D491">
        <f>IF(Eingabe_Ausgabe!$B$13=1,Berechnung!D490+dt*g,D490+H490*B491)</f>
        <v>-468.9450527945478</v>
      </c>
      <c r="E491">
        <f>0.5*roh_luft*Eingabe_Ausgabe!$B$7*(C491*C491+D491*D491)</f>
        <v>15687351.193041727</v>
      </c>
      <c r="F491">
        <f t="shared" si="70"/>
        <v>-1.4835872396921317</v>
      </c>
      <c r="G491">
        <f>IF(Eingabe_Ausgabe!$B$13=1,0,-COS(F491)*E491/m)</f>
        <v>0</v>
      </c>
      <c r="H491">
        <f>IF(Eingabe_Ausgabe!$B$13=1,g,g-SIN(F491)*E491/m)</f>
        <v>-9.81</v>
      </c>
      <c r="I491" s="4">
        <f t="shared" si="79"/>
        <v>0</v>
      </c>
      <c r="J491" s="4">
        <f t="shared" si="78"/>
        <v>0</v>
      </c>
      <c r="K491">
        <f t="shared" si="71"/>
        <v>0</v>
      </c>
      <c r="L491">
        <f t="shared" si="72"/>
        <v>-85.00328737382279</v>
      </c>
      <c r="M491">
        <f t="shared" si="73"/>
        <v>238627.68751693377</v>
      </c>
      <c r="N491">
        <f t="shared" si="74"/>
        <v>-2270113.5824972033</v>
      </c>
      <c r="O491">
        <f t="shared" si="75"/>
        <v>238627.68751693377</v>
      </c>
      <c r="P491">
        <f t="shared" si="76"/>
        <v>-1810969.2241847066</v>
      </c>
    </row>
    <row r="492" spans="2:16" ht="15">
      <c r="B492">
        <f t="shared" si="77"/>
        <v>24.150000000000208</v>
      </c>
      <c r="C492">
        <f>IF(Eingabe_Ausgabe!$B$13=1,Berechnung!C491,C491+G491*B492)</f>
        <v>41.00026417135857</v>
      </c>
      <c r="D492">
        <f>IF(Eingabe_Ausgabe!$B$13=1,Berechnung!D491+dt*g,D491+H491*B492)</f>
        <v>-469.4355527945478</v>
      </c>
      <c r="E492">
        <f>0.5*roh_luft*Eingabe_Ausgabe!$B$7*(C492*C492+D492*D492)</f>
        <v>15719936.104682771</v>
      </c>
      <c r="F492">
        <f t="shared" si="70"/>
        <v>-1.4836779014179964</v>
      </c>
      <c r="G492">
        <f>IF(Eingabe_Ausgabe!$B$13=1,0,-COS(F492)*E492/m)</f>
        <v>0</v>
      </c>
      <c r="H492">
        <f>IF(Eingabe_Ausgabe!$B$13=1,g,g-SIN(F492)*E492/m)</f>
        <v>-9.81</v>
      </c>
      <c r="I492" s="4">
        <f t="shared" si="79"/>
        <v>0</v>
      </c>
      <c r="J492" s="4">
        <f t="shared" si="78"/>
        <v>0</v>
      </c>
      <c r="K492">
        <f t="shared" si="71"/>
        <v>0</v>
      </c>
      <c r="L492">
        <f t="shared" si="72"/>
        <v>-85.00848190807821</v>
      </c>
      <c r="M492">
        <f t="shared" si="73"/>
        <v>239617.8438966721</v>
      </c>
      <c r="N492">
        <f t="shared" si="74"/>
        <v>-2281450.451097192</v>
      </c>
      <c r="O492">
        <f t="shared" si="75"/>
        <v>239617.8438966721</v>
      </c>
      <c r="P492">
        <f t="shared" si="76"/>
        <v>-1819445.386422195</v>
      </c>
    </row>
    <row r="493" spans="2:16" ht="15">
      <c r="B493">
        <f t="shared" si="77"/>
        <v>24.20000000000021</v>
      </c>
      <c r="C493">
        <f>IF(Eingabe_Ausgabe!$B$13=1,Berechnung!C492,C492+G492*B493)</f>
        <v>41.00026417135857</v>
      </c>
      <c r="D493">
        <f>IF(Eingabe_Ausgabe!$B$13=1,Berechnung!D492+dt*g,D492+H492*B493)</f>
        <v>-469.9260527945478</v>
      </c>
      <c r="E493">
        <f>0.5*roh_luft*Eingabe_Ausgabe!$B$7*(C493*C493+D493*D493)</f>
        <v>15752555.081177808</v>
      </c>
      <c r="F493">
        <f t="shared" si="70"/>
        <v>-1.4837683753131565</v>
      </c>
      <c r="G493">
        <f>IF(Eingabe_Ausgabe!$B$13=1,0,-COS(F493)*E493/m)</f>
        <v>0</v>
      </c>
      <c r="H493">
        <f>IF(Eingabe_Ausgabe!$B$13=1,g,g-SIN(F493)*E493/m)</f>
        <v>-9.81</v>
      </c>
      <c r="I493" s="4">
        <f t="shared" si="79"/>
        <v>0</v>
      </c>
      <c r="J493" s="4">
        <f t="shared" si="78"/>
        <v>0</v>
      </c>
      <c r="K493">
        <f t="shared" si="71"/>
        <v>0</v>
      </c>
      <c r="L493">
        <f t="shared" si="72"/>
        <v>-85.013665680427</v>
      </c>
      <c r="M493">
        <f t="shared" si="73"/>
        <v>240610.050289619</v>
      </c>
      <c r="N493">
        <f t="shared" si="74"/>
        <v>-2292822.66157482</v>
      </c>
      <c r="O493">
        <f t="shared" si="75"/>
        <v>240610.050289619</v>
      </c>
      <c r="P493">
        <f t="shared" si="76"/>
        <v>-1827945.0326998234</v>
      </c>
    </row>
    <row r="494" spans="2:16" ht="15">
      <c r="B494">
        <f t="shared" si="77"/>
        <v>24.25000000000021</v>
      </c>
      <c r="C494">
        <f>IF(Eingabe_Ausgabe!$B$13=1,Berechnung!C493,C493+G493*B494)</f>
        <v>41.00026417135857</v>
      </c>
      <c r="D494">
        <f>IF(Eingabe_Ausgabe!$B$13=1,Berechnung!D493+dt*g,D493+H493*B494)</f>
        <v>-470.4165527945478</v>
      </c>
      <c r="E494">
        <f>0.5*roh_luft*Eingabe_Ausgabe!$B$7*(C494*C494+D494*D494)</f>
        <v>15785208.122526838</v>
      </c>
      <c r="F494">
        <f t="shared" si="70"/>
        <v>-1.483858661959246</v>
      </c>
      <c r="G494">
        <f>IF(Eingabe_Ausgabe!$B$13=1,0,-COS(F494)*E494/m)</f>
        <v>0</v>
      </c>
      <c r="H494">
        <f>IF(Eingabe_Ausgabe!$B$13=1,g,g-SIN(F494)*E494/m)</f>
        <v>-9.81</v>
      </c>
      <c r="I494" s="4">
        <f t="shared" si="79"/>
        <v>0</v>
      </c>
      <c r="J494" s="4">
        <f t="shared" si="78"/>
        <v>0</v>
      </c>
      <c r="K494">
        <f t="shared" si="71"/>
        <v>0</v>
      </c>
      <c r="L494">
        <f t="shared" si="72"/>
        <v>-85.01883872419431</v>
      </c>
      <c r="M494">
        <f t="shared" si="73"/>
        <v>241604.30669577443</v>
      </c>
      <c r="N494">
        <f t="shared" si="74"/>
        <v>-2304230.262980088</v>
      </c>
      <c r="O494">
        <f t="shared" si="75"/>
        <v>241604.30669577443</v>
      </c>
      <c r="P494">
        <f t="shared" si="76"/>
        <v>-1836468.1875425912</v>
      </c>
    </row>
    <row r="495" spans="2:16" ht="15">
      <c r="B495">
        <f t="shared" si="77"/>
        <v>24.30000000000021</v>
      </c>
      <c r="C495">
        <f>IF(Eingabe_Ausgabe!$B$13=1,Berechnung!C494,C494+G494*B495)</f>
        <v>41.00026417135857</v>
      </c>
      <c r="D495">
        <f>IF(Eingabe_Ausgabe!$B$13=1,Berechnung!D494+dt*g,D494+H494*B495)</f>
        <v>-470.9070527945478</v>
      </c>
      <c r="E495">
        <f>0.5*roh_luft*Eingabe_Ausgabe!$B$7*(C495*C495+D495*D495)</f>
        <v>15817895.22872986</v>
      </c>
      <c r="F495">
        <f t="shared" si="70"/>
        <v>-1.4839487619355054</v>
      </c>
      <c r="G495">
        <f>IF(Eingabe_Ausgabe!$B$13=1,0,-COS(F495)*E495/m)</f>
        <v>0</v>
      </c>
      <c r="H495">
        <f>IF(Eingabe_Ausgabe!$B$13=1,g,g-SIN(F495)*E495/m)</f>
        <v>-9.81</v>
      </c>
      <c r="I495" s="4">
        <f t="shared" si="79"/>
        <v>0</v>
      </c>
      <c r="J495" s="4">
        <f t="shared" si="78"/>
        <v>0</v>
      </c>
      <c r="K495">
        <f t="shared" si="71"/>
        <v>0</v>
      </c>
      <c r="L495">
        <f t="shared" si="72"/>
        <v>-85.02400107256821</v>
      </c>
      <c r="M495">
        <f t="shared" si="73"/>
        <v>242600.61311513846</v>
      </c>
      <c r="N495">
        <f t="shared" si="74"/>
        <v>-2315673.3043629956</v>
      </c>
      <c r="O495">
        <f t="shared" si="75"/>
        <v>242600.61311513846</v>
      </c>
      <c r="P495">
        <f t="shared" si="76"/>
        <v>-1845014.8754754988</v>
      </c>
    </row>
    <row r="496" spans="2:16" ht="15">
      <c r="B496">
        <f t="shared" si="77"/>
        <v>24.35000000000021</v>
      </c>
      <c r="C496">
        <f>IF(Eingabe_Ausgabe!$B$13=1,Berechnung!C495,C495+G495*B496)</f>
        <v>41.00026417135857</v>
      </c>
      <c r="D496">
        <f>IF(Eingabe_Ausgabe!$B$13=1,Berechnung!D495+dt*g,D495+H495*B496)</f>
        <v>-471.3975527945478</v>
      </c>
      <c r="E496">
        <f>0.5*roh_luft*Eingabe_Ausgabe!$B$7*(C496*C496+D496*D496)</f>
        <v>15850616.39978688</v>
      </c>
      <c r="F496">
        <f t="shared" si="70"/>
        <v>-1.4840386758187953</v>
      </c>
      <c r="G496">
        <f>IF(Eingabe_Ausgabe!$B$13=1,0,-COS(F496)*E496/m)</f>
        <v>0</v>
      </c>
      <c r="H496">
        <f>IF(Eingabe_Ausgabe!$B$13=1,g,g-SIN(F496)*E496/m)</f>
        <v>-9.81</v>
      </c>
      <c r="I496" s="4">
        <f t="shared" si="79"/>
        <v>0</v>
      </c>
      <c r="J496" s="4">
        <f t="shared" si="78"/>
        <v>0</v>
      </c>
      <c r="K496">
        <f t="shared" si="71"/>
        <v>0</v>
      </c>
      <c r="L496">
        <f t="shared" si="72"/>
        <v>-85.02915275860035</v>
      </c>
      <c r="M496">
        <f t="shared" si="73"/>
        <v>243598.96954771105</v>
      </c>
      <c r="N496">
        <f t="shared" si="74"/>
        <v>-2327151.834773543</v>
      </c>
      <c r="O496">
        <f t="shared" si="75"/>
        <v>243598.96954771105</v>
      </c>
      <c r="P496">
        <f t="shared" si="76"/>
        <v>-1853585.1210235462</v>
      </c>
    </row>
    <row r="497" spans="2:16" ht="15">
      <c r="B497">
        <f t="shared" si="77"/>
        <v>24.40000000000021</v>
      </c>
      <c r="C497">
        <f>IF(Eingabe_Ausgabe!$B$13=1,Berechnung!C496,C496+G496*B497)</f>
        <v>41.00026417135857</v>
      </c>
      <c r="D497">
        <f>IF(Eingabe_Ausgabe!$B$13=1,Berechnung!D496+dt*g,D496+H496*B497)</f>
        <v>-471.8880527945478</v>
      </c>
      <c r="E497">
        <f>0.5*roh_luft*Eingabe_Ausgabe!$B$7*(C497*C497+D497*D497)</f>
        <v>15883371.635697892</v>
      </c>
      <c r="F497">
        <f t="shared" si="70"/>
        <v>-1.484128404183608</v>
      </c>
      <c r="G497">
        <f>IF(Eingabe_Ausgabe!$B$13=1,0,-COS(F497)*E497/m)</f>
        <v>0</v>
      </c>
      <c r="H497">
        <f>IF(Eingabe_Ausgabe!$B$13=1,g,g-SIN(F497)*E497/m)</f>
        <v>-9.81</v>
      </c>
      <c r="I497" s="4">
        <f t="shared" si="79"/>
        <v>0</v>
      </c>
      <c r="J497" s="4">
        <f t="shared" si="78"/>
        <v>0</v>
      </c>
      <c r="K497">
        <f t="shared" si="71"/>
        <v>0</v>
      </c>
      <c r="L497">
        <f t="shared" si="72"/>
        <v>-85.03429381520672</v>
      </c>
      <c r="M497">
        <f t="shared" si="73"/>
        <v>244599.3759934922</v>
      </c>
      <c r="N497">
        <f t="shared" si="74"/>
        <v>-2338665.90326173</v>
      </c>
      <c r="O497">
        <f t="shared" si="75"/>
        <v>244599.3759934922</v>
      </c>
      <c r="P497">
        <f t="shared" si="76"/>
        <v>-1862178.9487117333</v>
      </c>
    </row>
    <row r="498" spans="2:16" ht="15">
      <c r="B498">
        <f t="shared" si="77"/>
        <v>24.450000000000212</v>
      </c>
      <c r="C498">
        <f>IF(Eingabe_Ausgabe!$B$13=1,Berechnung!C497,C497+G497*B498)</f>
        <v>41.00026417135857</v>
      </c>
      <c r="D498">
        <f>IF(Eingabe_Ausgabe!$B$13=1,Berechnung!D497+dt*g,D497+H497*B498)</f>
        <v>-472.3785527945478</v>
      </c>
      <c r="E498">
        <f>0.5*roh_luft*Eingabe_Ausgabe!$B$7*(C498*C498+D498*D498)</f>
        <v>15916160.936462896</v>
      </c>
      <c r="F498">
        <f t="shared" si="70"/>
        <v>-1.484217947602079</v>
      </c>
      <c r="G498">
        <f>IF(Eingabe_Ausgabe!$B$13=1,0,-COS(F498)*E498/m)</f>
        <v>0</v>
      </c>
      <c r="H498">
        <f>IF(Eingabe_Ausgabe!$B$13=1,g,g-SIN(F498)*E498/m)</f>
        <v>-9.81</v>
      </c>
      <c r="I498" s="4">
        <f t="shared" si="79"/>
        <v>0</v>
      </c>
      <c r="J498" s="4">
        <f t="shared" si="78"/>
        <v>0</v>
      </c>
      <c r="K498">
        <f t="shared" si="71"/>
        <v>0</v>
      </c>
      <c r="L498">
        <f t="shared" si="72"/>
        <v>-85.03942427516829</v>
      </c>
      <c r="M498">
        <f t="shared" si="73"/>
        <v>245601.83245248193</v>
      </c>
      <c r="N498">
        <f t="shared" si="74"/>
        <v>-2350215.5588775566</v>
      </c>
      <c r="O498">
        <f t="shared" si="75"/>
        <v>245601.83245248193</v>
      </c>
      <c r="P498">
        <f t="shared" si="76"/>
        <v>-1870796.3830650602</v>
      </c>
    </row>
    <row r="499" spans="2:16" ht="15">
      <c r="B499">
        <f t="shared" si="77"/>
        <v>24.500000000000213</v>
      </c>
      <c r="C499">
        <f>IF(Eingabe_Ausgabe!$B$13=1,Berechnung!C498,C498+G498*B499)</f>
        <v>41.00026417135857</v>
      </c>
      <c r="D499">
        <f>IF(Eingabe_Ausgabe!$B$13=1,Berechnung!D498+dt*g,D498+H498*B499)</f>
        <v>-472.86905279454777</v>
      </c>
      <c r="E499">
        <f>0.5*roh_luft*Eingabe_Ausgabe!$B$7*(C499*C499+D499*D499)</f>
        <v>15948984.302081896</v>
      </c>
      <c r="F499">
        <f t="shared" si="70"/>
        <v>-1.4843073066439996</v>
      </c>
      <c r="G499">
        <f>IF(Eingabe_Ausgabe!$B$13=1,0,-COS(F499)*E499/m)</f>
        <v>0</v>
      </c>
      <c r="H499">
        <f>IF(Eingabe_Ausgabe!$B$13=1,g,g-SIN(F499)*E499/m)</f>
        <v>-9.81</v>
      </c>
      <c r="I499" s="4">
        <f t="shared" si="79"/>
        <v>0</v>
      </c>
      <c r="J499" s="4">
        <f t="shared" si="78"/>
        <v>0</v>
      </c>
      <c r="K499">
        <f t="shared" si="71"/>
        <v>0</v>
      </c>
      <c r="L499">
        <f t="shared" si="72"/>
        <v>-85.04454417113168</v>
      </c>
      <c r="M499">
        <f t="shared" si="73"/>
        <v>246606.33892468023</v>
      </c>
      <c r="N499">
        <f t="shared" si="74"/>
        <v>-2361800.850671023</v>
      </c>
      <c r="O499">
        <f t="shared" si="75"/>
        <v>246606.33892468023</v>
      </c>
      <c r="P499">
        <f t="shared" si="76"/>
        <v>-1879437.4486085267</v>
      </c>
    </row>
    <row r="500" spans="2:16" ht="15">
      <c r="B500">
        <f t="shared" si="77"/>
        <v>24.550000000000214</v>
      </c>
      <c r="C500">
        <f>IF(Eingabe_Ausgabe!$B$13=1,Berechnung!C499,C499+G499*B500)</f>
        <v>41.00026417135857</v>
      </c>
      <c r="D500">
        <f>IF(Eingabe_Ausgabe!$B$13=1,Berechnung!D499+dt*g,D499+H499*B500)</f>
        <v>-473.35955279454777</v>
      </c>
      <c r="E500">
        <f>0.5*roh_luft*Eingabe_Ausgabe!$B$7*(C500*C500+D500*D500)</f>
        <v>15981841.732554888</v>
      </c>
      <c r="F500">
        <f t="shared" si="70"/>
        <v>-1.4843964818768292</v>
      </c>
      <c r="G500">
        <f>IF(Eingabe_Ausgabe!$B$13=1,0,-COS(F500)*E500/m)</f>
        <v>0</v>
      </c>
      <c r="H500">
        <f>IF(Eingabe_Ausgabe!$B$13=1,g,g-SIN(F500)*E500/m)</f>
        <v>-9.81</v>
      </c>
      <c r="I500" s="4">
        <f t="shared" si="79"/>
        <v>0</v>
      </c>
      <c r="J500" s="4">
        <f t="shared" si="78"/>
        <v>0</v>
      </c>
      <c r="K500">
        <f t="shared" si="71"/>
        <v>0</v>
      </c>
      <c r="L500">
        <f t="shared" si="72"/>
        <v>-85.0496535356099</v>
      </c>
      <c r="M500">
        <f t="shared" si="73"/>
        <v>247612.89541008708</v>
      </c>
      <c r="N500">
        <f t="shared" si="74"/>
        <v>-2373421.827692129</v>
      </c>
      <c r="O500">
        <f t="shared" si="75"/>
        <v>247612.89541008708</v>
      </c>
      <c r="P500">
        <f t="shared" si="76"/>
        <v>-1888102.169867133</v>
      </c>
    </row>
    <row r="501" spans="2:16" ht="15">
      <c r="B501">
        <f t="shared" si="77"/>
        <v>24.600000000000215</v>
      </c>
      <c r="C501">
        <f>IF(Eingabe_Ausgabe!$B$13=1,Berechnung!C500,C500+G500*B501)</f>
        <v>41.00026417135857</v>
      </c>
      <c r="D501">
        <f>IF(Eingabe_Ausgabe!$B$13=1,Berechnung!D500+dt*g,D500+H500*B501)</f>
        <v>-473.85005279454776</v>
      </c>
      <c r="E501">
        <f>0.5*roh_luft*Eingabe_Ausgabe!$B$7*(C501*C501+D501*D501)</f>
        <v>16014733.227881875</v>
      </c>
      <c r="F501">
        <f t="shared" si="70"/>
        <v>-1.4844854738657065</v>
      </c>
      <c r="G501">
        <f>IF(Eingabe_Ausgabe!$B$13=1,0,-COS(F501)*E501/m)</f>
        <v>0</v>
      </c>
      <c r="H501">
        <f>IF(Eingabe_Ausgabe!$B$13=1,g,g-SIN(F501)*E501/m)</f>
        <v>-9.81</v>
      </c>
      <c r="I501" s="4">
        <f t="shared" si="79"/>
        <v>0</v>
      </c>
      <c r="J501" s="4">
        <f t="shared" si="78"/>
        <v>0</v>
      </c>
      <c r="K501">
        <f t="shared" si="71"/>
        <v>0</v>
      </c>
      <c r="L501">
        <f t="shared" si="72"/>
        <v>-85.05475240098305</v>
      </c>
      <c r="M501">
        <f t="shared" si="73"/>
        <v>248621.5019087025</v>
      </c>
      <c r="N501">
        <f t="shared" si="74"/>
        <v>-2385078.5389908752</v>
      </c>
      <c r="O501">
        <f t="shared" si="75"/>
        <v>248621.5019087025</v>
      </c>
      <c r="P501">
        <f t="shared" si="76"/>
        <v>-1896790.5713658792</v>
      </c>
    </row>
    <row r="502" spans="2:16" ht="15">
      <c r="B502">
        <f t="shared" si="77"/>
        <v>24.650000000000215</v>
      </c>
      <c r="C502">
        <f>IF(Eingabe_Ausgabe!$B$13=1,Berechnung!C501,C501+G501*B502)</f>
        <v>41.00026417135857</v>
      </c>
      <c r="D502">
        <f>IF(Eingabe_Ausgabe!$B$13=1,Berechnung!D501+dt*g,D501+H501*B502)</f>
        <v>-474.34055279454776</v>
      </c>
      <c r="E502">
        <f>0.5*roh_luft*Eingabe_Ausgabe!$B$7*(C502*C502+D502*D502)</f>
        <v>16047658.788062854</v>
      </c>
      <c r="F502">
        <f t="shared" si="70"/>
        <v>-1.4845742831734616</v>
      </c>
      <c r="G502">
        <f>IF(Eingabe_Ausgabe!$B$13=1,0,-COS(F502)*E502/m)</f>
        <v>0</v>
      </c>
      <c r="H502">
        <f>IF(Eingabe_Ausgabe!$B$13=1,g,g-SIN(F502)*E502/m)</f>
        <v>-9.81</v>
      </c>
      <c r="I502" s="4">
        <f t="shared" si="79"/>
        <v>0</v>
      </c>
      <c r="J502" s="4">
        <f t="shared" si="78"/>
        <v>0</v>
      </c>
      <c r="K502">
        <f t="shared" si="71"/>
        <v>0</v>
      </c>
      <c r="L502">
        <f t="shared" si="72"/>
        <v>-85.0598407994989</v>
      </c>
      <c r="M502">
        <f t="shared" si="73"/>
        <v>249632.1584205265</v>
      </c>
      <c r="N502">
        <f t="shared" si="74"/>
        <v>-2396771.033617261</v>
      </c>
      <c r="O502">
        <f t="shared" si="75"/>
        <v>249632.1584205265</v>
      </c>
      <c r="P502">
        <f t="shared" si="76"/>
        <v>-1905502.677629765</v>
      </c>
    </row>
    <row r="503" spans="2:16" ht="15">
      <c r="B503">
        <f t="shared" si="77"/>
        <v>24.700000000000216</v>
      </c>
      <c r="C503">
        <f>IF(Eingabe_Ausgabe!$B$13=1,Berechnung!C502,C502+G502*B503)</f>
        <v>41.00026417135857</v>
      </c>
      <c r="D503">
        <f>IF(Eingabe_Ausgabe!$B$13=1,Berechnung!D502+dt*g,D502+H502*B503)</f>
        <v>-474.83105279454776</v>
      </c>
      <c r="E503">
        <f>0.5*roh_luft*Eingabe_Ausgabe!$B$7*(C503*C503+D503*D503)</f>
        <v>16080618.413097827</v>
      </c>
      <c r="F503">
        <f t="shared" si="70"/>
        <v>-1.484662910360628</v>
      </c>
      <c r="G503">
        <f>IF(Eingabe_Ausgabe!$B$13=1,0,-COS(F503)*E503/m)</f>
        <v>0</v>
      </c>
      <c r="H503">
        <f>IF(Eingabe_Ausgabe!$B$13=1,g,g-SIN(F503)*E503/m)</f>
        <v>-9.81</v>
      </c>
      <c r="I503" s="4">
        <f t="shared" si="79"/>
        <v>0</v>
      </c>
      <c r="J503" s="4">
        <f t="shared" si="78"/>
        <v>0</v>
      </c>
      <c r="K503">
        <f t="shared" si="71"/>
        <v>0</v>
      </c>
      <c r="L503">
        <f t="shared" si="72"/>
        <v>-85.06491876327364</v>
      </c>
      <c r="M503">
        <f t="shared" si="73"/>
        <v>250644.86494555906</v>
      </c>
      <c r="N503">
        <f t="shared" si="74"/>
        <v>-2408499.360621286</v>
      </c>
      <c r="O503">
        <f t="shared" si="75"/>
        <v>250644.86494555906</v>
      </c>
      <c r="P503">
        <f t="shared" si="76"/>
        <v>-1914238.5131837905</v>
      </c>
    </row>
    <row r="504" spans="2:16" ht="15">
      <c r="B504">
        <f t="shared" si="77"/>
        <v>24.750000000000217</v>
      </c>
      <c r="C504">
        <f>IF(Eingabe_Ausgabe!$B$13=1,Berechnung!C503,C503+G503*B504)</f>
        <v>41.00026417135857</v>
      </c>
      <c r="D504">
        <f>IF(Eingabe_Ausgabe!$B$13=1,Berechnung!D503+dt*g,D503+H503*B504)</f>
        <v>-475.32155279454776</v>
      </c>
      <c r="E504">
        <f>0.5*roh_luft*Eingabe_Ausgabe!$B$7*(C504*C504+D504*D504)</f>
        <v>16113612.102986792</v>
      </c>
      <c r="F504">
        <f t="shared" si="70"/>
        <v>-1.4847513559854535</v>
      </c>
      <c r="G504">
        <f>IF(Eingabe_Ausgabe!$B$13=1,0,-COS(F504)*E504/m)</f>
        <v>0</v>
      </c>
      <c r="H504">
        <f>IF(Eingabe_Ausgabe!$B$13=1,g,g-SIN(F504)*E504/m)</f>
        <v>-9.81</v>
      </c>
      <c r="I504" s="4">
        <f t="shared" si="79"/>
        <v>0</v>
      </c>
      <c r="J504" s="4">
        <f t="shared" si="78"/>
        <v>0</v>
      </c>
      <c r="K504">
        <f t="shared" si="71"/>
        <v>0</v>
      </c>
      <c r="L504">
        <f t="shared" si="72"/>
        <v>-85.06998632429254</v>
      </c>
      <c r="M504">
        <f t="shared" si="73"/>
        <v>251659.6214838002</v>
      </c>
      <c r="N504">
        <f t="shared" si="74"/>
        <v>-2420263.5690529514</v>
      </c>
      <c r="O504">
        <f t="shared" si="75"/>
        <v>251659.6214838002</v>
      </c>
      <c r="P504">
        <f t="shared" si="76"/>
        <v>-1922998.1025529557</v>
      </c>
    </row>
    <row r="505" spans="2:16" ht="15">
      <c r="B505">
        <f t="shared" si="77"/>
        <v>24.800000000000217</v>
      </c>
      <c r="C505">
        <f>IF(Eingabe_Ausgabe!$B$13=1,Berechnung!C504,C504+G504*B505)</f>
        <v>41.00026417135857</v>
      </c>
      <c r="D505">
        <f>IF(Eingabe_Ausgabe!$B$13=1,Berechnung!D504+dt*g,D504+H504*B505)</f>
        <v>-475.81205279454775</v>
      </c>
      <c r="E505">
        <f>0.5*roh_luft*Eingabe_Ausgabe!$B$7*(C505*C505+D505*D505)</f>
        <v>16146639.857729753</v>
      </c>
      <c r="F505">
        <f t="shared" si="70"/>
        <v>-1.4848396206039132</v>
      </c>
      <c r="G505">
        <f>IF(Eingabe_Ausgabe!$B$13=1,0,-COS(F505)*E505/m)</f>
        <v>0</v>
      </c>
      <c r="H505">
        <f>IF(Eingabe_Ausgabe!$B$13=1,g,g-SIN(F505)*E505/m)</f>
        <v>-9.81</v>
      </c>
      <c r="I505" s="4">
        <f t="shared" si="79"/>
        <v>0</v>
      </c>
      <c r="J505" s="4">
        <f t="shared" si="78"/>
        <v>0</v>
      </c>
      <c r="K505">
        <f t="shared" si="71"/>
        <v>0</v>
      </c>
      <c r="L505">
        <f t="shared" si="72"/>
        <v>-85.07504351441062</v>
      </c>
      <c r="M505">
        <f t="shared" si="73"/>
        <v>252676.4280352499</v>
      </c>
      <c r="N505">
        <f t="shared" si="74"/>
        <v>-2432063.7079622564</v>
      </c>
      <c r="O505">
        <f t="shared" si="75"/>
        <v>252676.4280352499</v>
      </c>
      <c r="P505">
        <f t="shared" si="76"/>
        <v>-1931781.4702622606</v>
      </c>
    </row>
  </sheetData>
  <sheetProtection/>
  <conditionalFormatting sqref="K11:K505">
    <cfRule type="cellIs" priority="1" dxfId="2" operator="greaterThan" stopIfTrue="1">
      <formula>0</formula>
    </cfRule>
    <cfRule type="cellIs" priority="2" dxfId="3" operator="lessThanOr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Bastian Grondinger</dc:creator>
  <cp:keywords/>
  <dc:description/>
  <cp:lastModifiedBy>Stephan Seit</cp:lastModifiedBy>
  <dcterms:created xsi:type="dcterms:W3CDTF">2008-11-05T18:54:22Z</dcterms:created>
  <dcterms:modified xsi:type="dcterms:W3CDTF">2009-01-03T10:12:58Z</dcterms:modified>
  <cp:category/>
  <cp:version/>
  <cp:contentType/>
  <cp:contentStatus/>
</cp:coreProperties>
</file>